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1.xml" ContentType="application/vnd.openxmlformats-officedocument.spreadsheetml.chart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omments6.xml" ContentType="application/vnd.openxmlformats-officedocument.spreadsheetml.comments+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80" yWindow="120" windowWidth="11340" windowHeight="8835" tabRatio="890"/>
  </bookViews>
  <sheets>
    <sheet name="Instructions" sheetId="31" r:id="rId1"/>
    <sheet name="Step 1 IDF Curves" sheetId="29" r:id="rId2"/>
    <sheet name="Step 2 Inflow Hydrograph" sheetId="28" r:id="rId3"/>
    <sheet name="Step 3 Pond Sizing" sheetId="33" r:id="rId4"/>
    <sheet name="Step 4 Stage Discharge" sheetId="34" r:id="rId5"/>
    <sheet name="Step 5 Routing" sheetId="25" r:id="rId6"/>
    <sheet name="Step 6 Quality Check" sheetId="36" r:id="rId7"/>
    <sheet name="Step 7 View Hydrograph" sheetId="26" r:id="rId8"/>
    <sheet name="Summary" sheetId="30" r:id="rId9"/>
    <sheet name="Data" sheetId="35" r:id="rId10"/>
  </sheets>
  <definedNames>
    <definedName name="Control">Data!$E$3:$E$5</definedName>
    <definedName name="_xlnm.Database" localSheetId="3">#REF!</definedName>
    <definedName name="_xlnm.Database" localSheetId="4">#REF!</definedName>
    <definedName name="_xlnm.Database" localSheetId="6">#REF!</definedName>
    <definedName name="_xlnm.Database">#REF!</definedName>
    <definedName name="Depth">'Step 6 Quality Check'!$D$16:$D$916</definedName>
    <definedName name="Duration">Data!$B$3:$B$11</definedName>
    <definedName name="Frequency">Data!$A$3:$A$8</definedName>
    <definedName name="Hydrograph">Data!$D$3:$D$6</definedName>
    <definedName name="Orifice">Data!$E$3:$E$5</definedName>
    <definedName name="_xlnm.Print_Area" localSheetId="2">'Step 2 Inflow Hydrograph'!$A$1:$K$147</definedName>
    <definedName name="_xlnm.Print_Area" localSheetId="3">'Step 3 Pond Sizing'!$A$1:$I$71</definedName>
    <definedName name="_xlnm.Print_Area" localSheetId="4">'Step 4 Stage Discharge'!$A$1:$M$126</definedName>
    <definedName name="_xlnm.Print_Area" localSheetId="5">'Step 5 Routing'!$A$1:$L$913</definedName>
    <definedName name="_xlnm.Print_Area" localSheetId="6">'Step 6 Quality Check'!$A$1:$G$56</definedName>
    <definedName name="_xlnm.Print_Area" localSheetId="8">Summary!$A$1:$H$36</definedName>
    <definedName name="Protection">Data!$B$17:$E$17</definedName>
    <definedName name="Step">Data!$C$3:$C$7</definedName>
    <definedName name="Storage">Data!$F$3:$F$4</definedName>
    <definedName name="Time">'Step 6 Quality Check'!$A$16:$A$916</definedName>
  </definedNames>
  <calcPr calcId="145621"/>
</workbook>
</file>

<file path=xl/calcChain.xml><?xml version="1.0" encoding="utf-8"?>
<calcChain xmlns="http://schemas.openxmlformats.org/spreadsheetml/2006/main">
  <c r="A4" i="30" l="1"/>
  <c r="A49" i="36"/>
  <c r="A50" i="36"/>
  <c r="A51" i="36"/>
  <c r="A52" i="36" s="1"/>
  <c r="A53" i="36" s="1"/>
  <c r="A54" i="36" s="1"/>
  <c r="A55" i="36" s="1"/>
  <c r="A56" i="36" s="1"/>
  <c r="A57" i="36" s="1"/>
  <c r="A58" i="36" s="1"/>
  <c r="A59" i="36" s="1"/>
  <c r="A60" i="36" s="1"/>
  <c r="A61" i="36" s="1"/>
  <c r="A62" i="36" s="1"/>
  <c r="A63" i="36" s="1"/>
  <c r="A64" i="36" s="1"/>
  <c r="A65" i="36" s="1"/>
  <c r="A66" i="36" s="1"/>
  <c r="A67" i="36" s="1"/>
  <c r="A68" i="36" s="1"/>
  <c r="A69" i="36" s="1"/>
  <c r="A70" i="36" s="1"/>
  <c r="A71" i="36" s="1"/>
  <c r="A72" i="36" s="1"/>
  <c r="A73" i="36" s="1"/>
  <c r="A74" i="36" s="1"/>
  <c r="A75" i="36" s="1"/>
  <c r="A76" i="36" s="1"/>
  <c r="A77" i="36" s="1"/>
  <c r="A78" i="36" s="1"/>
  <c r="A79" i="36" s="1"/>
  <c r="A80" i="36" s="1"/>
  <c r="A81" i="36" s="1"/>
  <c r="A82" i="36" s="1"/>
  <c r="A83" i="36" s="1"/>
  <c r="A84" i="36" s="1"/>
  <c r="A85" i="36" s="1"/>
  <c r="A86" i="36" s="1"/>
  <c r="A87" i="36" s="1"/>
  <c r="A88" i="36" s="1"/>
  <c r="A89" i="36" s="1"/>
  <c r="A90" i="36" s="1"/>
  <c r="A91" i="36" s="1"/>
  <c r="A92" i="36" s="1"/>
  <c r="A93" i="36" s="1"/>
  <c r="A94" i="36" s="1"/>
  <c r="A95" i="36" s="1"/>
  <c r="A96" i="36" s="1"/>
  <c r="A14" i="30" l="1"/>
  <c r="E35" i="30"/>
  <c r="C35" i="30"/>
  <c r="A15" i="30"/>
  <c r="G4" i="36" l="1"/>
  <c r="F7" i="36" s="1"/>
  <c r="G7" i="36" l="1"/>
  <c r="G6" i="36"/>
  <c r="F6" i="36"/>
  <c r="D8" i="25"/>
  <c r="D46" i="33" l="1"/>
  <c r="D44" i="33"/>
  <c r="I26" i="33"/>
  <c r="A17" i="36" l="1"/>
  <c r="A18" i="36" s="1"/>
  <c r="A19" i="36" s="1"/>
  <c r="A20" i="36" s="1"/>
  <c r="A21" i="36" s="1"/>
  <c r="A22" i="36" s="1"/>
  <c r="A23" i="36" s="1"/>
  <c r="A24" i="36" s="1"/>
  <c r="A25" i="36" s="1"/>
  <c r="A26" i="36" s="1"/>
  <c r="A27" i="36" s="1"/>
  <c r="A28" i="36" s="1"/>
  <c r="A29" i="36" s="1"/>
  <c r="A30" i="36" s="1"/>
  <c r="A31" i="36" s="1"/>
  <c r="A32" i="36" s="1"/>
  <c r="A33" i="36" s="1"/>
  <c r="A34" i="36" s="1"/>
  <c r="A35" i="36" s="1"/>
  <c r="A36" i="36" s="1"/>
  <c r="A37" i="36" s="1"/>
  <c r="A38" i="36" s="1"/>
  <c r="A39" i="36" s="1"/>
  <c r="A40" i="36" s="1"/>
  <c r="A41" i="36" s="1"/>
  <c r="A42" i="36" s="1"/>
  <c r="A43" i="36" s="1"/>
  <c r="A44" i="36" s="1"/>
  <c r="A45" i="36" s="1"/>
  <c r="A46" i="36" s="1"/>
  <c r="A47" i="36" s="1"/>
  <c r="A48" i="36" s="1"/>
  <c r="A97" i="36" s="1"/>
  <c r="A98" i="36" s="1"/>
  <c r="A99" i="36" s="1"/>
  <c r="A100" i="36" s="1"/>
  <c r="A101" i="36" s="1"/>
  <c r="A102" i="36" s="1"/>
  <c r="A103" i="36" s="1"/>
  <c r="A104" i="36" s="1"/>
  <c r="A105" i="36" s="1"/>
  <c r="A106" i="36" s="1"/>
  <c r="A107" i="36" s="1"/>
  <c r="A108" i="36" s="1"/>
  <c r="A109" i="36" s="1"/>
  <c r="A110" i="36" s="1"/>
  <c r="A111" i="36" s="1"/>
  <c r="A112" i="36" s="1"/>
  <c r="A113" i="36" s="1"/>
  <c r="A114" i="36" s="1"/>
  <c r="A115" i="36" s="1"/>
  <c r="A116" i="36" s="1"/>
  <c r="A117" i="36" s="1"/>
  <c r="A118" i="36" s="1"/>
  <c r="A119" i="36" s="1"/>
  <c r="A120" i="36" s="1"/>
  <c r="A121" i="36" s="1"/>
  <c r="A122" i="36" s="1"/>
  <c r="A123" i="36" s="1"/>
  <c r="A124" i="36" s="1"/>
  <c r="A125" i="36" s="1"/>
  <c r="A126" i="36" s="1"/>
  <c r="A127" i="36" s="1"/>
  <c r="A128" i="36" s="1"/>
  <c r="A129" i="36" s="1"/>
  <c r="A130" i="36" s="1"/>
  <c r="A131" i="36" s="1"/>
  <c r="A132" i="36" s="1"/>
  <c r="A133" i="36" s="1"/>
  <c r="A134" i="36" s="1"/>
  <c r="A135" i="36" s="1"/>
  <c r="A136" i="36" s="1"/>
  <c r="A137" i="36" s="1"/>
  <c r="A138" i="36" s="1"/>
  <c r="A139" i="36" s="1"/>
  <c r="A140" i="36" s="1"/>
  <c r="A141" i="36" s="1"/>
  <c r="A142" i="36" s="1"/>
  <c r="A143" i="36" s="1"/>
  <c r="A144" i="36" s="1"/>
  <c r="A145" i="36" s="1"/>
  <c r="A146" i="36" s="1"/>
  <c r="A147" i="36" s="1"/>
  <c r="A148" i="36" s="1"/>
  <c r="A149" i="36" s="1"/>
  <c r="A150" i="36" s="1"/>
  <c r="A151" i="36" s="1"/>
  <c r="A152" i="36" s="1"/>
  <c r="A153" i="36" s="1"/>
  <c r="A154" i="36" s="1"/>
  <c r="A155" i="36" s="1"/>
  <c r="A156" i="36" s="1"/>
  <c r="A157" i="36" s="1"/>
  <c r="A158" i="36" s="1"/>
  <c r="A159" i="36" s="1"/>
  <c r="A160" i="36" s="1"/>
  <c r="A161" i="36" s="1"/>
  <c r="A162" i="36" s="1"/>
  <c r="A163" i="36" s="1"/>
  <c r="A164" i="36" s="1"/>
  <c r="A165" i="36" s="1"/>
  <c r="A166" i="36" s="1"/>
  <c r="A167" i="36" s="1"/>
  <c r="A168" i="36" s="1"/>
  <c r="A169" i="36" s="1"/>
  <c r="A170" i="36" s="1"/>
  <c r="A171" i="36" s="1"/>
  <c r="A172" i="36" s="1"/>
  <c r="A173" i="36" s="1"/>
  <c r="A174" i="36" s="1"/>
  <c r="A175" i="36" s="1"/>
  <c r="A176" i="36" s="1"/>
  <c r="A177" i="36" s="1"/>
  <c r="A178" i="36" s="1"/>
  <c r="A179" i="36" s="1"/>
  <c r="A180" i="36" s="1"/>
  <c r="A181" i="36" s="1"/>
  <c r="A182" i="36" s="1"/>
  <c r="A183" i="36" s="1"/>
  <c r="A184" i="36" s="1"/>
  <c r="A185" i="36" s="1"/>
  <c r="A186" i="36" s="1"/>
  <c r="A187" i="36" s="1"/>
  <c r="A188" i="36" s="1"/>
  <c r="A189" i="36" s="1"/>
  <c r="A190" i="36" s="1"/>
  <c r="A191" i="36" s="1"/>
  <c r="A192" i="36" s="1"/>
  <c r="A193" i="36" s="1"/>
  <c r="A194" i="36" s="1"/>
  <c r="A195" i="36" s="1"/>
  <c r="A196" i="36" s="1"/>
  <c r="A197" i="36" s="1"/>
  <c r="A198" i="36" s="1"/>
  <c r="A199" i="36" s="1"/>
  <c r="A200" i="36" s="1"/>
  <c r="A201" i="36" s="1"/>
  <c r="A202" i="36" s="1"/>
  <c r="A203" i="36" s="1"/>
  <c r="A204" i="36" s="1"/>
  <c r="A205" i="36" s="1"/>
  <c r="A206" i="36" s="1"/>
  <c r="A207" i="36" s="1"/>
  <c r="A208" i="36" s="1"/>
  <c r="A209" i="36" s="1"/>
  <c r="A210" i="36" s="1"/>
  <c r="A211" i="36" s="1"/>
  <c r="A212" i="36" s="1"/>
  <c r="A213" i="36" s="1"/>
  <c r="A214" i="36" s="1"/>
  <c r="A215" i="36" s="1"/>
  <c r="A216" i="36" s="1"/>
  <c r="A217" i="36" s="1"/>
  <c r="A218" i="36" s="1"/>
  <c r="A219" i="36" s="1"/>
  <c r="A220" i="36" s="1"/>
  <c r="A221" i="36" s="1"/>
  <c r="A222" i="36" s="1"/>
  <c r="A223" i="36" s="1"/>
  <c r="A224" i="36" s="1"/>
  <c r="A225" i="36" s="1"/>
  <c r="A226" i="36" s="1"/>
  <c r="A227" i="36" s="1"/>
  <c r="A228" i="36" s="1"/>
  <c r="A229" i="36" s="1"/>
  <c r="A230" i="36" s="1"/>
  <c r="A231" i="36" s="1"/>
  <c r="A232" i="36" s="1"/>
  <c r="A233" i="36" s="1"/>
  <c r="A234" i="36" s="1"/>
  <c r="A235" i="36" s="1"/>
  <c r="A236" i="36" s="1"/>
  <c r="A237" i="36" s="1"/>
  <c r="A238" i="36" s="1"/>
  <c r="A239" i="36" s="1"/>
  <c r="A240" i="36" s="1"/>
  <c r="A241" i="36" s="1"/>
  <c r="A242" i="36" s="1"/>
  <c r="A243" i="36" s="1"/>
  <c r="A244" i="36" s="1"/>
  <c r="A245" i="36" s="1"/>
  <c r="A246" i="36" s="1"/>
  <c r="A247" i="36" s="1"/>
  <c r="A248" i="36" s="1"/>
  <c r="A249" i="36" s="1"/>
  <c r="A250" i="36" s="1"/>
  <c r="A251" i="36" s="1"/>
  <c r="A252" i="36" s="1"/>
  <c r="A253" i="36" s="1"/>
  <c r="A254" i="36" s="1"/>
  <c r="A255" i="36" s="1"/>
  <c r="A256" i="36" s="1"/>
  <c r="A257" i="36" s="1"/>
  <c r="A258" i="36" s="1"/>
  <c r="A259" i="36" s="1"/>
  <c r="A260" i="36" s="1"/>
  <c r="A261" i="36" s="1"/>
  <c r="A262" i="36" s="1"/>
  <c r="A263" i="36" s="1"/>
  <c r="A264" i="36" s="1"/>
  <c r="A265" i="36" s="1"/>
  <c r="A266" i="36" s="1"/>
  <c r="A267" i="36" s="1"/>
  <c r="A268" i="36" s="1"/>
  <c r="A269" i="36" s="1"/>
  <c r="A270" i="36" s="1"/>
  <c r="A271" i="36" s="1"/>
  <c r="A272" i="36" s="1"/>
  <c r="A273" i="36" s="1"/>
  <c r="A274" i="36" s="1"/>
  <c r="A275" i="36" s="1"/>
  <c r="A276" i="36" s="1"/>
  <c r="A277" i="36" s="1"/>
  <c r="A278" i="36" s="1"/>
  <c r="A279" i="36" s="1"/>
  <c r="A280" i="36" s="1"/>
  <c r="A281" i="36" s="1"/>
  <c r="A282" i="36" s="1"/>
  <c r="A283" i="36" s="1"/>
  <c r="A284" i="36" s="1"/>
  <c r="A285" i="36" s="1"/>
  <c r="A286" i="36" s="1"/>
  <c r="A287" i="36" s="1"/>
  <c r="A288" i="36" s="1"/>
  <c r="A289" i="36" s="1"/>
  <c r="A290" i="36" s="1"/>
  <c r="A291" i="36" s="1"/>
  <c r="A292" i="36" s="1"/>
  <c r="A293" i="36" s="1"/>
  <c r="A294" i="36" s="1"/>
  <c r="A295" i="36" s="1"/>
  <c r="A296" i="36" s="1"/>
  <c r="A297" i="36" s="1"/>
  <c r="A298" i="36" s="1"/>
  <c r="A299" i="36" s="1"/>
  <c r="A300" i="36" s="1"/>
  <c r="A301" i="36" s="1"/>
  <c r="A302" i="36" s="1"/>
  <c r="A303" i="36" s="1"/>
  <c r="A304" i="36" s="1"/>
  <c r="A305" i="36" s="1"/>
  <c r="A306" i="36" s="1"/>
  <c r="A307" i="36" s="1"/>
  <c r="A308" i="36" s="1"/>
  <c r="A309" i="36" s="1"/>
  <c r="A310" i="36" s="1"/>
  <c r="A311" i="36" s="1"/>
  <c r="A312" i="36" s="1"/>
  <c r="A313" i="36" s="1"/>
  <c r="A314" i="36" s="1"/>
  <c r="A315" i="36" s="1"/>
  <c r="A316" i="36" s="1"/>
  <c r="A317" i="36" s="1"/>
  <c r="A318" i="36" s="1"/>
  <c r="A319" i="36" s="1"/>
  <c r="A320" i="36" s="1"/>
  <c r="A321" i="36" s="1"/>
  <c r="A322" i="36" s="1"/>
  <c r="A323" i="36" s="1"/>
  <c r="A324" i="36" s="1"/>
  <c r="A325" i="36" s="1"/>
  <c r="A326" i="36" s="1"/>
  <c r="A327" i="36" s="1"/>
  <c r="A328" i="36" s="1"/>
  <c r="A329" i="36" s="1"/>
  <c r="A330" i="36" s="1"/>
  <c r="A331" i="36" s="1"/>
  <c r="A332" i="36" s="1"/>
  <c r="A333" i="36" s="1"/>
  <c r="A334" i="36" s="1"/>
  <c r="A335" i="36" s="1"/>
  <c r="A336" i="36" s="1"/>
  <c r="A337" i="36" s="1"/>
  <c r="A338" i="36" s="1"/>
  <c r="A339" i="36" s="1"/>
  <c r="A340" i="36" s="1"/>
  <c r="A341" i="36" s="1"/>
  <c r="A342" i="36" s="1"/>
  <c r="A343" i="36" s="1"/>
  <c r="A344" i="36" s="1"/>
  <c r="A345" i="36" s="1"/>
  <c r="A346" i="36" s="1"/>
  <c r="A347" i="36" s="1"/>
  <c r="A348" i="36" s="1"/>
  <c r="A349" i="36" s="1"/>
  <c r="A350" i="36" s="1"/>
  <c r="A351" i="36" s="1"/>
  <c r="A352" i="36" s="1"/>
  <c r="A353" i="36" s="1"/>
  <c r="A354" i="36" s="1"/>
  <c r="A355" i="36" s="1"/>
  <c r="A356" i="36" s="1"/>
  <c r="A357" i="36" s="1"/>
  <c r="A358" i="36" s="1"/>
  <c r="A359" i="36" s="1"/>
  <c r="A360" i="36" s="1"/>
  <c r="A361" i="36" s="1"/>
  <c r="A362" i="36" s="1"/>
  <c r="A363" i="36" s="1"/>
  <c r="A364" i="36" s="1"/>
  <c r="A365" i="36" s="1"/>
  <c r="A366" i="36" s="1"/>
  <c r="A367" i="36" s="1"/>
  <c r="A368" i="36" s="1"/>
  <c r="A369" i="36" s="1"/>
  <c r="A370" i="36" s="1"/>
  <c r="A371" i="36" s="1"/>
  <c r="A372" i="36" s="1"/>
  <c r="A373" i="36" s="1"/>
  <c r="A374" i="36" s="1"/>
  <c r="A375" i="36" s="1"/>
  <c r="A376" i="36" s="1"/>
  <c r="A377" i="36" s="1"/>
  <c r="A378" i="36" s="1"/>
  <c r="A379" i="36" s="1"/>
  <c r="A380" i="36" s="1"/>
  <c r="A381" i="36" s="1"/>
  <c r="A382" i="36" s="1"/>
  <c r="A383" i="36" s="1"/>
  <c r="A384" i="36" s="1"/>
  <c r="A385" i="36" s="1"/>
  <c r="A386" i="36" s="1"/>
  <c r="A387" i="36" s="1"/>
  <c r="A388" i="36" s="1"/>
  <c r="A389" i="36" s="1"/>
  <c r="A390" i="36" s="1"/>
  <c r="A391" i="36" s="1"/>
  <c r="A392" i="36" s="1"/>
  <c r="A393" i="36" s="1"/>
  <c r="A394" i="36" s="1"/>
  <c r="A395" i="36" s="1"/>
  <c r="A396" i="36" s="1"/>
  <c r="A397" i="36" s="1"/>
  <c r="A398" i="36" s="1"/>
  <c r="A399" i="36" s="1"/>
  <c r="A400" i="36" s="1"/>
  <c r="A401" i="36" s="1"/>
  <c r="A402" i="36" s="1"/>
  <c r="A403" i="36" s="1"/>
  <c r="A404" i="36" s="1"/>
  <c r="A405" i="36" s="1"/>
  <c r="A406" i="36" s="1"/>
  <c r="A407" i="36" s="1"/>
  <c r="A408" i="36" s="1"/>
  <c r="A409" i="36" s="1"/>
  <c r="A410" i="36" s="1"/>
  <c r="A411" i="36" s="1"/>
  <c r="A412" i="36" s="1"/>
  <c r="A413" i="36" s="1"/>
  <c r="A414" i="36" s="1"/>
  <c r="A415" i="36" s="1"/>
  <c r="A416" i="36" s="1"/>
  <c r="A417" i="36" s="1"/>
  <c r="A418" i="36" s="1"/>
  <c r="A419" i="36" s="1"/>
  <c r="A420" i="36" s="1"/>
  <c r="A421" i="36" s="1"/>
  <c r="A422" i="36" s="1"/>
  <c r="A423" i="36" s="1"/>
  <c r="A424" i="36" s="1"/>
  <c r="A425" i="36" s="1"/>
  <c r="A426" i="36" s="1"/>
  <c r="A427" i="36" s="1"/>
  <c r="A428" i="36" s="1"/>
  <c r="A429" i="36" s="1"/>
  <c r="A430" i="36" s="1"/>
  <c r="A431" i="36" s="1"/>
  <c r="A432" i="36" s="1"/>
  <c r="A433" i="36" s="1"/>
  <c r="A434" i="36" s="1"/>
  <c r="A435" i="36" s="1"/>
  <c r="A436" i="36" s="1"/>
  <c r="A437" i="36" s="1"/>
  <c r="A438" i="36" s="1"/>
  <c r="A439" i="36" s="1"/>
  <c r="A440" i="36" s="1"/>
  <c r="A441" i="36" s="1"/>
  <c r="A442" i="36" s="1"/>
  <c r="A443" i="36" s="1"/>
  <c r="A444" i="36" s="1"/>
  <c r="A445" i="36" s="1"/>
  <c r="A446" i="36" s="1"/>
  <c r="A447" i="36" s="1"/>
  <c r="A448" i="36" s="1"/>
  <c r="A449" i="36" s="1"/>
  <c r="A450" i="36" s="1"/>
  <c r="A451" i="36" s="1"/>
  <c r="A452" i="36" s="1"/>
  <c r="A453" i="36" s="1"/>
  <c r="A454" i="36" s="1"/>
  <c r="A455" i="36" s="1"/>
  <c r="A456" i="36" s="1"/>
  <c r="A457" i="36" s="1"/>
  <c r="A458" i="36" s="1"/>
  <c r="A459" i="36" s="1"/>
  <c r="A460" i="36" s="1"/>
  <c r="A461" i="36" s="1"/>
  <c r="A462" i="36" s="1"/>
  <c r="A463" i="36" s="1"/>
  <c r="A464" i="36" s="1"/>
  <c r="A465" i="36" s="1"/>
  <c r="A466" i="36" s="1"/>
  <c r="A467" i="36" s="1"/>
  <c r="A468" i="36" s="1"/>
  <c r="A469" i="36" s="1"/>
  <c r="A470" i="36" s="1"/>
  <c r="A471" i="36" s="1"/>
  <c r="A472" i="36" s="1"/>
  <c r="A473" i="36" s="1"/>
  <c r="A474" i="36" s="1"/>
  <c r="A475" i="36" s="1"/>
  <c r="A476" i="36" s="1"/>
  <c r="A477" i="36" s="1"/>
  <c r="A478" i="36" s="1"/>
  <c r="A479" i="36" s="1"/>
  <c r="A480" i="36" s="1"/>
  <c r="A481" i="36" s="1"/>
  <c r="A482" i="36" s="1"/>
  <c r="A483" i="36" s="1"/>
  <c r="A484" i="36" s="1"/>
  <c r="A485" i="36" s="1"/>
  <c r="A486" i="36" s="1"/>
  <c r="A487" i="36" s="1"/>
  <c r="A488" i="36" s="1"/>
  <c r="A489" i="36" s="1"/>
  <c r="A490" i="36" s="1"/>
  <c r="A491" i="36" s="1"/>
  <c r="A492" i="36" s="1"/>
  <c r="A493" i="36" s="1"/>
  <c r="A494" i="36" s="1"/>
  <c r="A495" i="36" s="1"/>
  <c r="A496" i="36" s="1"/>
  <c r="A497" i="36" s="1"/>
  <c r="A498" i="36" s="1"/>
  <c r="A499" i="36" s="1"/>
  <c r="A500" i="36" s="1"/>
  <c r="A501" i="36" s="1"/>
  <c r="A502" i="36" s="1"/>
  <c r="A503" i="36" s="1"/>
  <c r="A504" i="36" s="1"/>
  <c r="A505" i="36" s="1"/>
  <c r="A506" i="36" s="1"/>
  <c r="A507" i="36" s="1"/>
  <c r="A508" i="36" s="1"/>
  <c r="A509" i="36" s="1"/>
  <c r="A510" i="36" s="1"/>
  <c r="A511" i="36" s="1"/>
  <c r="A512" i="36" s="1"/>
  <c r="A513" i="36" s="1"/>
  <c r="A514" i="36" s="1"/>
  <c r="A515" i="36" s="1"/>
  <c r="A516" i="36" s="1"/>
  <c r="A517" i="36" s="1"/>
  <c r="A518" i="36" s="1"/>
  <c r="A519" i="36" s="1"/>
  <c r="A520" i="36" s="1"/>
  <c r="A521" i="36" s="1"/>
  <c r="A522" i="36" s="1"/>
  <c r="A523" i="36" s="1"/>
  <c r="A524" i="36" s="1"/>
  <c r="A525" i="36" s="1"/>
  <c r="A526" i="36" s="1"/>
  <c r="A527" i="36" s="1"/>
  <c r="A528" i="36" s="1"/>
  <c r="A529" i="36" s="1"/>
  <c r="A530" i="36" s="1"/>
  <c r="A531" i="36" s="1"/>
  <c r="A532" i="36" s="1"/>
  <c r="A533" i="36" s="1"/>
  <c r="A534" i="36" s="1"/>
  <c r="A535" i="36" s="1"/>
  <c r="A536" i="36" s="1"/>
  <c r="A537" i="36" s="1"/>
  <c r="A538" i="36" s="1"/>
  <c r="A539" i="36" s="1"/>
  <c r="A540" i="36" s="1"/>
  <c r="A541" i="36" s="1"/>
  <c r="A542" i="36" s="1"/>
  <c r="A543" i="36" s="1"/>
  <c r="A544" i="36" s="1"/>
  <c r="A545" i="36" s="1"/>
  <c r="A546" i="36" s="1"/>
  <c r="A547" i="36" s="1"/>
  <c r="A548" i="36" s="1"/>
  <c r="A549" i="36" s="1"/>
  <c r="A550" i="36" s="1"/>
  <c r="A551" i="36" s="1"/>
  <c r="A552" i="36" s="1"/>
  <c r="A553" i="36" s="1"/>
  <c r="A554" i="36" s="1"/>
  <c r="A555" i="36" s="1"/>
  <c r="A556" i="36" s="1"/>
  <c r="A557" i="36" s="1"/>
  <c r="A558" i="36" s="1"/>
  <c r="A559" i="36" s="1"/>
  <c r="A560" i="36" s="1"/>
  <c r="A561" i="36" s="1"/>
  <c r="A562" i="36" s="1"/>
  <c r="A563" i="36" s="1"/>
  <c r="A564" i="36" s="1"/>
  <c r="A565" i="36" s="1"/>
  <c r="A566" i="36" s="1"/>
  <c r="A567" i="36" s="1"/>
  <c r="A568" i="36" s="1"/>
  <c r="A569" i="36" s="1"/>
  <c r="A570" i="36" s="1"/>
  <c r="A571" i="36" s="1"/>
  <c r="A572" i="36" s="1"/>
  <c r="A573" i="36" s="1"/>
  <c r="A574" i="36" s="1"/>
  <c r="A575" i="36" s="1"/>
  <c r="A576" i="36" s="1"/>
  <c r="A577" i="36" s="1"/>
  <c r="A578" i="36" s="1"/>
  <c r="A579" i="36" s="1"/>
  <c r="A580" i="36" s="1"/>
  <c r="A581" i="36" s="1"/>
  <c r="A582" i="36" s="1"/>
  <c r="A583" i="36" s="1"/>
  <c r="A584" i="36" s="1"/>
  <c r="A585" i="36" s="1"/>
  <c r="A586" i="36" s="1"/>
  <c r="A587" i="36" s="1"/>
  <c r="A588" i="36" s="1"/>
  <c r="A589" i="36" s="1"/>
  <c r="A590" i="36" s="1"/>
  <c r="A591" i="36" s="1"/>
  <c r="A592" i="36" s="1"/>
  <c r="A593" i="36" s="1"/>
  <c r="A594" i="36" s="1"/>
  <c r="A595" i="36" s="1"/>
  <c r="A596" i="36" s="1"/>
  <c r="A597" i="36" s="1"/>
  <c r="A598" i="36" s="1"/>
  <c r="A599" i="36" s="1"/>
  <c r="A600" i="36" s="1"/>
  <c r="A601" i="36" s="1"/>
  <c r="A602" i="36" s="1"/>
  <c r="A603" i="36" s="1"/>
  <c r="A604" i="36" s="1"/>
  <c r="A605" i="36" s="1"/>
  <c r="A606" i="36" s="1"/>
  <c r="A607" i="36" s="1"/>
  <c r="A608" i="36" s="1"/>
  <c r="A609" i="36" s="1"/>
  <c r="A610" i="36" s="1"/>
  <c r="A611" i="36" s="1"/>
  <c r="A612" i="36" s="1"/>
  <c r="A613" i="36" s="1"/>
  <c r="A614" i="36" s="1"/>
  <c r="A615" i="36" s="1"/>
  <c r="A616" i="36" s="1"/>
  <c r="A617" i="36" s="1"/>
  <c r="A618" i="36" s="1"/>
  <c r="A619" i="36" s="1"/>
  <c r="A620" i="36" s="1"/>
  <c r="A621" i="36" s="1"/>
  <c r="A622" i="36" s="1"/>
  <c r="A623" i="36" s="1"/>
  <c r="A624" i="36" s="1"/>
  <c r="A625" i="36" s="1"/>
  <c r="A626" i="36" s="1"/>
  <c r="A627" i="36" s="1"/>
  <c r="A628" i="36" s="1"/>
  <c r="A629" i="36" s="1"/>
  <c r="A630" i="36" s="1"/>
  <c r="A631" i="36" s="1"/>
  <c r="A632" i="36" s="1"/>
  <c r="A633" i="36" s="1"/>
  <c r="A634" i="36" s="1"/>
  <c r="A635" i="36" s="1"/>
  <c r="A636" i="36" s="1"/>
  <c r="A637" i="36" s="1"/>
  <c r="A638" i="36" s="1"/>
  <c r="A639" i="36" s="1"/>
  <c r="A640" i="36" s="1"/>
  <c r="A641" i="36" s="1"/>
  <c r="A642" i="36" s="1"/>
  <c r="A643" i="36" s="1"/>
  <c r="A644" i="36" s="1"/>
  <c r="A645" i="36" s="1"/>
  <c r="A646" i="36" s="1"/>
  <c r="A647" i="36" s="1"/>
  <c r="A648" i="36" s="1"/>
  <c r="A649" i="36" s="1"/>
  <c r="A650" i="36" s="1"/>
  <c r="A651" i="36" s="1"/>
  <c r="A652" i="36" s="1"/>
  <c r="A653" i="36" s="1"/>
  <c r="A654" i="36" s="1"/>
  <c r="A655" i="36" s="1"/>
  <c r="A656" i="36" s="1"/>
  <c r="A657" i="36" s="1"/>
  <c r="A658" i="36" s="1"/>
  <c r="A659" i="36" s="1"/>
  <c r="A660" i="36" s="1"/>
  <c r="A661" i="36" s="1"/>
  <c r="A662" i="36" s="1"/>
  <c r="A663" i="36" s="1"/>
  <c r="A664" i="36" s="1"/>
  <c r="A665" i="36" s="1"/>
  <c r="A666" i="36" s="1"/>
  <c r="A667" i="36" s="1"/>
  <c r="A668" i="36" s="1"/>
  <c r="A669" i="36" s="1"/>
  <c r="A670" i="36" s="1"/>
  <c r="A671" i="36" s="1"/>
  <c r="A672" i="36" s="1"/>
  <c r="A673" i="36" s="1"/>
  <c r="A674" i="36" s="1"/>
  <c r="A675" i="36" s="1"/>
  <c r="A676" i="36" s="1"/>
  <c r="A677" i="36" s="1"/>
  <c r="A678" i="36" s="1"/>
  <c r="A679" i="36" s="1"/>
  <c r="A680" i="36" s="1"/>
  <c r="A681" i="36" s="1"/>
  <c r="A682" i="36" s="1"/>
  <c r="A683" i="36" s="1"/>
  <c r="A684" i="36" s="1"/>
  <c r="A685" i="36" s="1"/>
  <c r="A686" i="36" s="1"/>
  <c r="A687" i="36" s="1"/>
  <c r="A688" i="36" s="1"/>
  <c r="A689" i="36" s="1"/>
  <c r="A690" i="36" s="1"/>
  <c r="A691" i="36" s="1"/>
  <c r="A692" i="36" s="1"/>
  <c r="A693" i="36" s="1"/>
  <c r="A694" i="36" s="1"/>
  <c r="A695" i="36" s="1"/>
  <c r="A696" i="36" s="1"/>
  <c r="A697" i="36" s="1"/>
  <c r="A698" i="36" s="1"/>
  <c r="A699" i="36" s="1"/>
  <c r="A700" i="36" s="1"/>
  <c r="A701" i="36" s="1"/>
  <c r="A702" i="36" s="1"/>
  <c r="A703" i="36" s="1"/>
  <c r="A704" i="36" s="1"/>
  <c r="A705" i="36" s="1"/>
  <c r="A706" i="36" s="1"/>
  <c r="A707" i="36" s="1"/>
  <c r="A708" i="36" s="1"/>
  <c r="A709" i="36" s="1"/>
  <c r="A710" i="36" s="1"/>
  <c r="A711" i="36" s="1"/>
  <c r="A712" i="36" s="1"/>
  <c r="A713" i="36" s="1"/>
  <c r="A714" i="36" s="1"/>
  <c r="A715" i="36" s="1"/>
  <c r="A716" i="36" s="1"/>
  <c r="A717" i="36" s="1"/>
  <c r="A718" i="36" s="1"/>
  <c r="A719" i="36" s="1"/>
  <c r="A720" i="36" s="1"/>
  <c r="A721" i="36" s="1"/>
  <c r="A722" i="36" s="1"/>
  <c r="A723" i="36" s="1"/>
  <c r="A724" i="36" s="1"/>
  <c r="A725" i="36" s="1"/>
  <c r="A726" i="36" s="1"/>
  <c r="A727" i="36" s="1"/>
  <c r="A728" i="36" s="1"/>
  <c r="A729" i="36" s="1"/>
  <c r="A730" i="36" s="1"/>
  <c r="A731" i="36" s="1"/>
  <c r="A732" i="36" s="1"/>
  <c r="A733" i="36" s="1"/>
  <c r="A734" i="36" s="1"/>
  <c r="A735" i="36" s="1"/>
  <c r="A736" i="36" s="1"/>
  <c r="A737" i="36" s="1"/>
  <c r="A738" i="36" s="1"/>
  <c r="A739" i="36" s="1"/>
  <c r="A740" i="36" s="1"/>
  <c r="A741" i="36" s="1"/>
  <c r="A742" i="36" s="1"/>
  <c r="A743" i="36" s="1"/>
  <c r="A744" i="36" s="1"/>
  <c r="A745" i="36" s="1"/>
  <c r="A746" i="36" s="1"/>
  <c r="A747" i="36" s="1"/>
  <c r="A748" i="36" s="1"/>
  <c r="A749" i="36" s="1"/>
  <c r="A750" i="36" s="1"/>
  <c r="A751" i="36" s="1"/>
  <c r="A752" i="36" s="1"/>
  <c r="A753" i="36" s="1"/>
  <c r="A754" i="36" s="1"/>
  <c r="A755" i="36" s="1"/>
  <c r="A756" i="36" s="1"/>
  <c r="A757" i="36" s="1"/>
  <c r="A758" i="36" s="1"/>
  <c r="A759" i="36" s="1"/>
  <c r="A760" i="36" s="1"/>
  <c r="A761" i="36" s="1"/>
  <c r="A762" i="36" s="1"/>
  <c r="A763" i="36" s="1"/>
  <c r="A764" i="36" s="1"/>
  <c r="A765" i="36" s="1"/>
  <c r="A766" i="36" s="1"/>
  <c r="A767" i="36" s="1"/>
  <c r="A768" i="36" s="1"/>
  <c r="A769" i="36" s="1"/>
  <c r="A770" i="36" s="1"/>
  <c r="A771" i="36" s="1"/>
  <c r="A772" i="36" s="1"/>
  <c r="A773" i="36" s="1"/>
  <c r="A774" i="36" s="1"/>
  <c r="A775" i="36" s="1"/>
  <c r="A776" i="36" s="1"/>
  <c r="A777" i="36" s="1"/>
  <c r="A778" i="36" s="1"/>
  <c r="A779" i="36" s="1"/>
  <c r="A780" i="36" s="1"/>
  <c r="A781" i="36" s="1"/>
  <c r="A782" i="36" s="1"/>
  <c r="A783" i="36" s="1"/>
  <c r="A784" i="36" s="1"/>
  <c r="A785" i="36" s="1"/>
  <c r="A786" i="36" s="1"/>
  <c r="A787" i="36" s="1"/>
  <c r="A788" i="36" s="1"/>
  <c r="A789" i="36" s="1"/>
  <c r="A790" i="36" s="1"/>
  <c r="A791" i="36" s="1"/>
  <c r="A792" i="36" s="1"/>
  <c r="A793" i="36" s="1"/>
  <c r="A794" i="36" s="1"/>
  <c r="A795" i="36" s="1"/>
  <c r="A796" i="36" s="1"/>
  <c r="A797" i="36" s="1"/>
  <c r="A798" i="36" s="1"/>
  <c r="A799" i="36" s="1"/>
  <c r="A800" i="36" s="1"/>
  <c r="A801" i="36" s="1"/>
  <c r="A802" i="36" s="1"/>
  <c r="A803" i="36" s="1"/>
  <c r="A804" i="36" s="1"/>
  <c r="A805" i="36" s="1"/>
  <c r="A806" i="36" s="1"/>
  <c r="A807" i="36" s="1"/>
  <c r="A808" i="36" s="1"/>
  <c r="A809" i="36" s="1"/>
  <c r="A810" i="36" s="1"/>
  <c r="A811" i="36" s="1"/>
  <c r="A812" i="36" s="1"/>
  <c r="A813" i="36" s="1"/>
  <c r="A814" i="36" s="1"/>
  <c r="A815" i="36" s="1"/>
  <c r="A816" i="36" s="1"/>
  <c r="A817" i="36" s="1"/>
  <c r="A818" i="36" s="1"/>
  <c r="A819" i="36" s="1"/>
  <c r="A820" i="36" s="1"/>
  <c r="A821" i="36" s="1"/>
  <c r="A822" i="36" s="1"/>
  <c r="A823" i="36" s="1"/>
  <c r="A824" i="36" s="1"/>
  <c r="A825" i="36" s="1"/>
  <c r="A826" i="36" s="1"/>
  <c r="A827" i="36" s="1"/>
  <c r="A828" i="36" s="1"/>
  <c r="A829" i="36" s="1"/>
  <c r="A830" i="36" s="1"/>
  <c r="A831" i="36" s="1"/>
  <c r="A832" i="36" s="1"/>
  <c r="A833" i="36" s="1"/>
  <c r="A834" i="36" s="1"/>
  <c r="A835" i="36" s="1"/>
  <c r="A836" i="36" s="1"/>
  <c r="A837" i="36" s="1"/>
  <c r="A838" i="36" s="1"/>
  <c r="A839" i="36" s="1"/>
  <c r="A840" i="36" s="1"/>
  <c r="A841" i="36" s="1"/>
  <c r="A842" i="36" s="1"/>
  <c r="A843" i="36" s="1"/>
  <c r="A844" i="36" s="1"/>
  <c r="A845" i="36" s="1"/>
  <c r="A846" i="36" s="1"/>
  <c r="A847" i="36" s="1"/>
  <c r="A848" i="36" s="1"/>
  <c r="A849" i="36" s="1"/>
  <c r="A850" i="36" s="1"/>
  <c r="A851" i="36" s="1"/>
  <c r="A852" i="36" s="1"/>
  <c r="A853" i="36" s="1"/>
  <c r="A854" i="36" s="1"/>
  <c r="A855" i="36" s="1"/>
  <c r="A856" i="36" s="1"/>
  <c r="A857" i="36" s="1"/>
  <c r="A858" i="36" s="1"/>
  <c r="A859" i="36" s="1"/>
  <c r="A860" i="36" s="1"/>
  <c r="A861" i="36" s="1"/>
  <c r="A862" i="36" s="1"/>
  <c r="A863" i="36" s="1"/>
  <c r="A864" i="36" s="1"/>
  <c r="A865" i="36" s="1"/>
  <c r="A866" i="36" s="1"/>
  <c r="A867" i="36" s="1"/>
  <c r="A868" i="36" s="1"/>
  <c r="A869" i="36" s="1"/>
  <c r="A870" i="36" s="1"/>
  <c r="A871" i="36" s="1"/>
  <c r="A872" i="36" s="1"/>
  <c r="A873" i="36" s="1"/>
  <c r="A874" i="36" s="1"/>
  <c r="A875" i="36" s="1"/>
  <c r="A876" i="36" s="1"/>
  <c r="A877" i="36" s="1"/>
  <c r="A878" i="36" s="1"/>
  <c r="A879" i="36" s="1"/>
  <c r="A880" i="36" s="1"/>
  <c r="A881" i="36" s="1"/>
  <c r="A882" i="36" s="1"/>
  <c r="A883" i="36" s="1"/>
  <c r="A884" i="36" s="1"/>
  <c r="A885" i="36" s="1"/>
  <c r="A886" i="36" s="1"/>
  <c r="A887" i="36" s="1"/>
  <c r="A888" i="36" s="1"/>
  <c r="A889" i="36" s="1"/>
  <c r="A890" i="36" s="1"/>
  <c r="A891" i="36" s="1"/>
  <c r="A892" i="36" s="1"/>
  <c r="A893" i="36" s="1"/>
  <c r="A894" i="36" s="1"/>
  <c r="A895" i="36" s="1"/>
  <c r="A896" i="36" s="1"/>
  <c r="A897" i="36" s="1"/>
  <c r="A898" i="36" s="1"/>
  <c r="A899" i="36" s="1"/>
  <c r="A900" i="36" s="1"/>
  <c r="A901" i="36" s="1"/>
  <c r="A902" i="36" s="1"/>
  <c r="A903" i="36" s="1"/>
  <c r="A904" i="36" s="1"/>
  <c r="A905" i="36" s="1"/>
  <c r="A906" i="36" s="1"/>
  <c r="A907" i="36" s="1"/>
  <c r="A908" i="36" s="1"/>
  <c r="A909" i="36" s="1"/>
  <c r="A910" i="36" s="1"/>
  <c r="A911" i="36" s="1"/>
  <c r="A912" i="36" s="1"/>
  <c r="A913" i="36" s="1"/>
  <c r="A914" i="36" s="1"/>
  <c r="A915" i="36" s="1"/>
  <c r="A916" i="36" s="1"/>
  <c r="I17" i="33"/>
  <c r="D57" i="33"/>
  <c r="E36" i="30" l="1"/>
  <c r="C6" i="36"/>
  <c r="I19" i="33"/>
  <c r="C36" i="30" l="1"/>
  <c r="I44" i="33"/>
  <c r="C4" i="36"/>
  <c r="I46" i="33"/>
  <c r="B16" i="36"/>
  <c r="I58" i="33"/>
  <c r="I57" i="33"/>
  <c r="D56" i="33"/>
  <c r="D58" i="33" s="1"/>
  <c r="D48" i="33" l="1"/>
  <c r="E34" i="30" s="1"/>
  <c r="I48" i="33"/>
  <c r="I59" i="33"/>
  <c r="I60" i="33" s="1"/>
  <c r="Q26" i="34"/>
  <c r="Q27" i="34" s="1"/>
  <c r="Q28" i="34" s="1"/>
  <c r="Q29" i="34" s="1"/>
  <c r="Q30" i="34" s="1"/>
  <c r="Q31" i="34" s="1"/>
  <c r="Q32" i="34" s="1"/>
  <c r="Q33" i="34" s="1"/>
  <c r="Q34" i="34" s="1"/>
  <c r="Q35" i="34" s="1"/>
  <c r="Q36" i="34" s="1"/>
  <c r="Q37" i="34" s="1"/>
  <c r="Q38" i="34" s="1"/>
  <c r="Q39" i="34" s="1"/>
  <c r="Q40" i="34" s="1"/>
  <c r="Q41" i="34" s="1"/>
  <c r="Q42" i="34" s="1"/>
  <c r="Q43" i="34" s="1"/>
  <c r="Q44" i="34" s="1"/>
  <c r="Q45" i="34" s="1"/>
  <c r="Q46" i="34" s="1"/>
  <c r="Q47" i="34" s="1"/>
  <c r="Q48" i="34" s="1"/>
  <c r="Q49" i="34" s="1"/>
  <c r="Q50" i="34" s="1"/>
  <c r="Q51" i="34" s="1"/>
  <c r="Q52" i="34" s="1"/>
  <c r="Q53" i="34" s="1"/>
  <c r="Q54" i="34" s="1"/>
  <c r="Q55" i="34" s="1"/>
  <c r="Q56" i="34" s="1"/>
  <c r="Q57" i="34" s="1"/>
  <c r="Q58" i="34" s="1"/>
  <c r="Q59" i="34" s="1"/>
  <c r="Q60" i="34" s="1"/>
  <c r="Q61" i="34" s="1"/>
  <c r="Q62" i="34" s="1"/>
  <c r="Q63" i="34" s="1"/>
  <c r="Q64" i="34" s="1"/>
  <c r="Q65" i="34" s="1"/>
  <c r="Q66" i="34" s="1"/>
  <c r="Q67" i="34" s="1"/>
  <c r="Q68" i="34" s="1"/>
  <c r="Q69" i="34" s="1"/>
  <c r="Q70" i="34" s="1"/>
  <c r="Q71" i="34" s="1"/>
  <c r="Q72" i="34" s="1"/>
  <c r="Q73" i="34" s="1"/>
  <c r="Q74" i="34" s="1"/>
  <c r="Q75" i="34" s="1"/>
  <c r="Q76" i="34" s="1"/>
  <c r="Q77" i="34" s="1"/>
  <c r="Q78" i="34" s="1"/>
  <c r="Q79" i="34" s="1"/>
  <c r="Q80" i="34" s="1"/>
  <c r="Q81" i="34" s="1"/>
  <c r="Q82" i="34" s="1"/>
  <c r="Q83" i="34" s="1"/>
  <c r="Q84" i="34" s="1"/>
  <c r="Q85" i="34" s="1"/>
  <c r="Q86" i="34" s="1"/>
  <c r="Q87" i="34" s="1"/>
  <c r="Q88" i="34" s="1"/>
  <c r="Q89" i="34" s="1"/>
  <c r="Q90" i="34" s="1"/>
  <c r="Q91" i="34" s="1"/>
  <c r="Q92" i="34" s="1"/>
  <c r="Q93" i="34" s="1"/>
  <c r="Q94" i="34" s="1"/>
  <c r="Q95" i="34" s="1"/>
  <c r="Q96" i="34" s="1"/>
  <c r="Q97" i="34" s="1"/>
  <c r="Q98" i="34" s="1"/>
  <c r="Q99" i="34" s="1"/>
  <c r="Q100" i="34" s="1"/>
  <c r="Q101" i="34" s="1"/>
  <c r="Q102" i="34" s="1"/>
  <c r="Q103" i="34" s="1"/>
  <c r="Q104" i="34" s="1"/>
  <c r="Q105" i="34" s="1"/>
  <c r="Q106" i="34" s="1"/>
  <c r="Q107" i="34" s="1"/>
  <c r="Q108" i="34" s="1"/>
  <c r="Q109" i="34" s="1"/>
  <c r="Q110" i="34" s="1"/>
  <c r="Q111" i="34" s="1"/>
  <c r="Q112" i="34" s="1"/>
  <c r="Q113" i="34" s="1"/>
  <c r="Q114" i="34" s="1"/>
  <c r="Q115" i="34" s="1"/>
  <c r="Q116" i="34" s="1"/>
  <c r="Q117" i="34" s="1"/>
  <c r="Q118" i="34" s="1"/>
  <c r="Q119" i="34" s="1"/>
  <c r="Q120" i="34" s="1"/>
  <c r="Q121" i="34" s="1"/>
  <c r="Q122" i="34" s="1"/>
  <c r="Q123" i="34" s="1"/>
  <c r="Q124" i="34" s="1"/>
  <c r="Q125" i="34" s="1"/>
  <c r="Q126" i="34" s="1"/>
  <c r="K15" i="34"/>
  <c r="C34" i="30" l="1"/>
  <c r="C16" i="36"/>
  <c r="B104" i="25"/>
  <c r="B105" i="25"/>
  <c r="B106" i="25"/>
  <c r="B107" i="25"/>
  <c r="B108" i="25"/>
  <c r="B109" i="25"/>
  <c r="B110" i="25"/>
  <c r="B111" i="25"/>
  <c r="B112" i="25"/>
  <c r="B113" i="25"/>
  <c r="B114" i="25"/>
  <c r="B115" i="25"/>
  <c r="B116" i="25"/>
  <c r="B117" i="25"/>
  <c r="B118" i="25"/>
  <c r="B119" i="25"/>
  <c r="B120" i="25"/>
  <c r="B121" i="25"/>
  <c r="B122" i="25"/>
  <c r="B123" i="25"/>
  <c r="B124" i="25"/>
  <c r="B125" i="25"/>
  <c r="B126" i="25"/>
  <c r="B127" i="25"/>
  <c r="B128" i="25"/>
  <c r="B129" i="25"/>
  <c r="B130" i="25"/>
  <c r="B131" i="25"/>
  <c r="B132" i="25"/>
  <c r="B133" i="25"/>
  <c r="B134" i="25"/>
  <c r="B135" i="25"/>
  <c r="B136" i="25"/>
  <c r="B137" i="25"/>
  <c r="B138" i="25"/>
  <c r="B139" i="25"/>
  <c r="B140" i="25"/>
  <c r="B141" i="25"/>
  <c r="B142" i="25"/>
  <c r="B143" i="25"/>
  <c r="B144" i="25"/>
  <c r="B145" i="25"/>
  <c r="B146" i="25"/>
  <c r="B147" i="25"/>
  <c r="B148" i="25"/>
  <c r="B149" i="25"/>
  <c r="B150" i="25"/>
  <c r="B151" i="25"/>
  <c r="B152" i="25"/>
  <c r="B153" i="25"/>
  <c r="B154" i="25"/>
  <c r="B155" i="25"/>
  <c r="B156" i="25"/>
  <c r="B157" i="25"/>
  <c r="B158" i="25"/>
  <c r="B159" i="25"/>
  <c r="B160" i="25"/>
  <c r="B161" i="25"/>
  <c r="B162" i="25"/>
  <c r="B163" i="25"/>
  <c r="B164" i="25"/>
  <c r="B165" i="25"/>
  <c r="B166" i="25"/>
  <c r="B167" i="25"/>
  <c r="B168" i="25"/>
  <c r="B169" i="25"/>
  <c r="B170" i="25"/>
  <c r="B171" i="25"/>
  <c r="B172" i="25"/>
  <c r="B173" i="25"/>
  <c r="B174" i="25"/>
  <c r="B175" i="25"/>
  <c r="B176" i="25"/>
  <c r="B177" i="25"/>
  <c r="B178" i="25"/>
  <c r="B179" i="25"/>
  <c r="B180" i="25"/>
  <c r="B181" i="25"/>
  <c r="B182" i="25"/>
  <c r="B183" i="25"/>
  <c r="B184" i="25"/>
  <c r="B185" i="25"/>
  <c r="B186" i="25"/>
  <c r="B187" i="25"/>
  <c r="B188" i="25"/>
  <c r="B189" i="25"/>
  <c r="B190" i="25"/>
  <c r="B191" i="25"/>
  <c r="B192" i="25"/>
  <c r="B193" i="25"/>
  <c r="B194" i="25"/>
  <c r="B195" i="25"/>
  <c r="B196" i="25"/>
  <c r="B197" i="25"/>
  <c r="B198" i="25"/>
  <c r="B199" i="25"/>
  <c r="B200" i="25"/>
  <c r="B201" i="25"/>
  <c r="B202" i="25"/>
  <c r="B203" i="25"/>
  <c r="B204" i="25"/>
  <c r="B205" i="25"/>
  <c r="B206" i="25"/>
  <c r="B207" i="25"/>
  <c r="B208" i="25"/>
  <c r="B209" i="25"/>
  <c r="B210" i="25"/>
  <c r="B211" i="25"/>
  <c r="B212" i="25"/>
  <c r="B213" i="25"/>
  <c r="B214" i="25"/>
  <c r="B215" i="25"/>
  <c r="B216" i="25"/>
  <c r="B217" i="25"/>
  <c r="B218" i="25"/>
  <c r="B219" i="25"/>
  <c r="B220" i="25"/>
  <c r="B221" i="25"/>
  <c r="B222" i="25"/>
  <c r="B223" i="25"/>
  <c r="B224" i="25"/>
  <c r="B225" i="25"/>
  <c r="B226" i="25"/>
  <c r="B227" i="25"/>
  <c r="B228" i="25"/>
  <c r="B229" i="25"/>
  <c r="B230" i="25"/>
  <c r="B231" i="25"/>
  <c r="B232" i="25"/>
  <c r="B233" i="25"/>
  <c r="B234" i="25"/>
  <c r="B235" i="25"/>
  <c r="B236" i="25"/>
  <c r="B237" i="25"/>
  <c r="B238" i="25"/>
  <c r="B239" i="25"/>
  <c r="B240" i="25"/>
  <c r="B241" i="25"/>
  <c r="B242" i="25"/>
  <c r="B243" i="25"/>
  <c r="B244" i="25"/>
  <c r="B245" i="25"/>
  <c r="B246" i="25"/>
  <c r="B247" i="25"/>
  <c r="B248" i="25"/>
  <c r="B249" i="25"/>
  <c r="B250" i="25"/>
  <c r="B251" i="25"/>
  <c r="B252" i="25"/>
  <c r="B253" i="25"/>
  <c r="B254" i="25"/>
  <c r="B255" i="25"/>
  <c r="B256" i="25"/>
  <c r="B257" i="25"/>
  <c r="B258" i="25"/>
  <c r="B259" i="25"/>
  <c r="B260" i="25"/>
  <c r="B261" i="25"/>
  <c r="B262" i="25"/>
  <c r="B263" i="25"/>
  <c r="B264" i="25"/>
  <c r="B265" i="25"/>
  <c r="B266" i="25"/>
  <c r="B267" i="25"/>
  <c r="B268" i="25"/>
  <c r="B269" i="25"/>
  <c r="B270" i="25"/>
  <c r="B271" i="25"/>
  <c r="B272" i="25"/>
  <c r="B273" i="25"/>
  <c r="B274" i="25"/>
  <c r="B275" i="25"/>
  <c r="B276" i="25"/>
  <c r="B277" i="25"/>
  <c r="B278" i="25"/>
  <c r="B279" i="25"/>
  <c r="B280" i="25"/>
  <c r="B281" i="25"/>
  <c r="B282" i="25"/>
  <c r="B283" i="25"/>
  <c r="B284" i="25"/>
  <c r="B285" i="25"/>
  <c r="B286" i="25"/>
  <c r="B287" i="25"/>
  <c r="B288" i="25"/>
  <c r="B289" i="25"/>
  <c r="B290" i="25"/>
  <c r="B291" i="25"/>
  <c r="B292" i="25"/>
  <c r="B293" i="25"/>
  <c r="B294" i="25"/>
  <c r="B295" i="25"/>
  <c r="B296" i="25"/>
  <c r="B297" i="25"/>
  <c r="B298" i="25"/>
  <c r="B299" i="25"/>
  <c r="B300" i="25"/>
  <c r="B301" i="25"/>
  <c r="B302" i="25"/>
  <c r="B303" i="25"/>
  <c r="B304" i="25"/>
  <c r="B305" i="25"/>
  <c r="B306" i="25"/>
  <c r="B307" i="25"/>
  <c r="B308" i="25"/>
  <c r="B309" i="25"/>
  <c r="B310" i="25"/>
  <c r="B311" i="25"/>
  <c r="B312" i="25"/>
  <c r="B313" i="25"/>
  <c r="B314" i="25"/>
  <c r="B315" i="25"/>
  <c r="B316" i="25"/>
  <c r="B317" i="25"/>
  <c r="B318" i="25"/>
  <c r="B319" i="25"/>
  <c r="B320" i="25"/>
  <c r="B321" i="25"/>
  <c r="B322" i="25"/>
  <c r="B323" i="25"/>
  <c r="B324" i="25"/>
  <c r="B325" i="25"/>
  <c r="B326" i="25"/>
  <c r="B327" i="25"/>
  <c r="B328" i="25"/>
  <c r="B329" i="25"/>
  <c r="B330" i="25"/>
  <c r="B331" i="25"/>
  <c r="B332" i="25"/>
  <c r="B333" i="25"/>
  <c r="B334" i="25"/>
  <c r="B335" i="25"/>
  <c r="B336" i="25"/>
  <c r="B337" i="25"/>
  <c r="B338" i="25"/>
  <c r="B339" i="25"/>
  <c r="B340" i="25"/>
  <c r="B341" i="25"/>
  <c r="B342" i="25"/>
  <c r="B343" i="25"/>
  <c r="B344" i="25"/>
  <c r="B345" i="25"/>
  <c r="B346" i="25"/>
  <c r="B347" i="25"/>
  <c r="B348" i="25"/>
  <c r="B349" i="25"/>
  <c r="B350" i="25"/>
  <c r="B351" i="25"/>
  <c r="B352" i="25"/>
  <c r="B353" i="25"/>
  <c r="B354" i="25"/>
  <c r="B355" i="25"/>
  <c r="B356" i="25"/>
  <c r="B357" i="25"/>
  <c r="B358" i="25"/>
  <c r="B359" i="25"/>
  <c r="B360" i="25"/>
  <c r="B361" i="25"/>
  <c r="B362" i="25"/>
  <c r="B363" i="25"/>
  <c r="B364" i="25"/>
  <c r="B365" i="25"/>
  <c r="B366" i="25"/>
  <c r="B367" i="25"/>
  <c r="B368" i="25"/>
  <c r="B369" i="25"/>
  <c r="B370" i="25"/>
  <c r="B371" i="25"/>
  <c r="B372" i="25"/>
  <c r="B373" i="25"/>
  <c r="B374" i="25"/>
  <c r="B375" i="25"/>
  <c r="B376" i="25"/>
  <c r="B377" i="25"/>
  <c r="B378" i="25"/>
  <c r="B379" i="25"/>
  <c r="B380" i="25"/>
  <c r="B381" i="25"/>
  <c r="B382" i="25"/>
  <c r="B383" i="25"/>
  <c r="B384" i="25"/>
  <c r="B385" i="25"/>
  <c r="B386" i="25"/>
  <c r="B387" i="25"/>
  <c r="B388" i="25"/>
  <c r="B389" i="25"/>
  <c r="B390" i="25"/>
  <c r="B391" i="25"/>
  <c r="B392" i="25"/>
  <c r="B393" i="25"/>
  <c r="B394" i="25"/>
  <c r="B395" i="25"/>
  <c r="B396" i="25"/>
  <c r="B397" i="25"/>
  <c r="B398" i="25"/>
  <c r="B399" i="25"/>
  <c r="B400" i="25"/>
  <c r="B401" i="25"/>
  <c r="B402" i="25"/>
  <c r="B403" i="25"/>
  <c r="B404" i="25"/>
  <c r="B405" i="25"/>
  <c r="B406" i="25"/>
  <c r="B407" i="25"/>
  <c r="B408" i="25"/>
  <c r="B409" i="25"/>
  <c r="B410" i="25"/>
  <c r="B411" i="25"/>
  <c r="B412" i="25"/>
  <c r="B413" i="25"/>
  <c r="B414" i="25"/>
  <c r="B415" i="25"/>
  <c r="B416" i="25"/>
  <c r="B417" i="25"/>
  <c r="B418" i="25"/>
  <c r="B419" i="25"/>
  <c r="B420" i="25"/>
  <c r="B421" i="25"/>
  <c r="B422" i="25"/>
  <c r="B423" i="25"/>
  <c r="B424" i="25"/>
  <c r="B425" i="25"/>
  <c r="B426" i="25"/>
  <c r="B427" i="25"/>
  <c r="B428" i="25"/>
  <c r="B429" i="25"/>
  <c r="B430" i="25"/>
  <c r="B431" i="25"/>
  <c r="B432" i="25"/>
  <c r="B433" i="25"/>
  <c r="B434" i="25"/>
  <c r="B435" i="25"/>
  <c r="B436" i="25"/>
  <c r="B437" i="25"/>
  <c r="B438" i="25"/>
  <c r="B439" i="25"/>
  <c r="B440" i="25"/>
  <c r="B441" i="25"/>
  <c r="B442" i="25"/>
  <c r="B443" i="25"/>
  <c r="B444" i="25"/>
  <c r="B445" i="25"/>
  <c r="B446" i="25"/>
  <c r="B447" i="25"/>
  <c r="B448" i="25"/>
  <c r="B449" i="25"/>
  <c r="B450" i="25"/>
  <c r="B451" i="25"/>
  <c r="B452" i="25"/>
  <c r="B453" i="25"/>
  <c r="B454" i="25"/>
  <c r="B455" i="25"/>
  <c r="B456" i="25"/>
  <c r="B457" i="25"/>
  <c r="B458" i="25"/>
  <c r="B459" i="25"/>
  <c r="B460" i="25"/>
  <c r="B461" i="25"/>
  <c r="B462" i="25"/>
  <c r="B463" i="25"/>
  <c r="B464" i="25"/>
  <c r="B465" i="25"/>
  <c r="B466" i="25"/>
  <c r="B467" i="25"/>
  <c r="B468" i="25"/>
  <c r="B469" i="25"/>
  <c r="B470" i="25"/>
  <c r="B471" i="25"/>
  <c r="B472" i="25"/>
  <c r="B473" i="25"/>
  <c r="B474" i="25"/>
  <c r="B475" i="25"/>
  <c r="B476" i="25"/>
  <c r="B477" i="25"/>
  <c r="B478" i="25"/>
  <c r="B479" i="25"/>
  <c r="B480" i="25"/>
  <c r="B481" i="25"/>
  <c r="B482" i="25"/>
  <c r="B483" i="25"/>
  <c r="B484" i="25"/>
  <c r="B485" i="25"/>
  <c r="B486" i="25"/>
  <c r="B487" i="25"/>
  <c r="B488" i="25"/>
  <c r="B489" i="25"/>
  <c r="B490" i="25"/>
  <c r="B491" i="25"/>
  <c r="B492" i="25"/>
  <c r="B493" i="25"/>
  <c r="B494" i="25"/>
  <c r="B495" i="25"/>
  <c r="B496" i="25"/>
  <c r="B497" i="25"/>
  <c r="B498" i="25"/>
  <c r="B499" i="25"/>
  <c r="B500" i="25"/>
  <c r="B501" i="25"/>
  <c r="B502" i="25"/>
  <c r="B503" i="25"/>
  <c r="B504" i="25"/>
  <c r="B505" i="25"/>
  <c r="B506" i="25"/>
  <c r="B507" i="25"/>
  <c r="B508" i="25"/>
  <c r="B509" i="25"/>
  <c r="B510" i="25"/>
  <c r="B511" i="25"/>
  <c r="B512" i="25"/>
  <c r="B513" i="25"/>
  <c r="B514" i="25"/>
  <c r="B515" i="25"/>
  <c r="B516" i="25"/>
  <c r="B517" i="25"/>
  <c r="B518" i="25"/>
  <c r="B519" i="25"/>
  <c r="B520" i="25"/>
  <c r="B521" i="25"/>
  <c r="B522" i="25"/>
  <c r="B523" i="25"/>
  <c r="B524" i="25"/>
  <c r="B525" i="25"/>
  <c r="B526" i="25"/>
  <c r="B527" i="25"/>
  <c r="B528" i="25"/>
  <c r="B529" i="25"/>
  <c r="B530" i="25"/>
  <c r="B531" i="25"/>
  <c r="B532" i="25"/>
  <c r="B533" i="25"/>
  <c r="B534" i="25"/>
  <c r="B535" i="25"/>
  <c r="B536" i="25"/>
  <c r="B537" i="25"/>
  <c r="B538" i="25"/>
  <c r="B539" i="25"/>
  <c r="B540" i="25"/>
  <c r="B541" i="25"/>
  <c r="B542" i="25"/>
  <c r="B543" i="25"/>
  <c r="B544" i="25"/>
  <c r="B545" i="25"/>
  <c r="B546" i="25"/>
  <c r="B547" i="25"/>
  <c r="B548" i="25"/>
  <c r="B549" i="25"/>
  <c r="B550" i="25"/>
  <c r="B551" i="25"/>
  <c r="B552" i="25"/>
  <c r="B553" i="25"/>
  <c r="B554" i="25"/>
  <c r="B555" i="25"/>
  <c r="B556" i="25"/>
  <c r="B557" i="25"/>
  <c r="B558" i="25"/>
  <c r="B559" i="25"/>
  <c r="B560" i="25"/>
  <c r="B561" i="25"/>
  <c r="B562" i="25"/>
  <c r="B563" i="25"/>
  <c r="B564" i="25"/>
  <c r="B565" i="25"/>
  <c r="B566" i="25"/>
  <c r="B567" i="25"/>
  <c r="B568" i="25"/>
  <c r="B569" i="25"/>
  <c r="B570" i="25"/>
  <c r="B571" i="25"/>
  <c r="B572" i="25"/>
  <c r="B573" i="25"/>
  <c r="B574" i="25"/>
  <c r="B575" i="25"/>
  <c r="B576" i="25"/>
  <c r="B577" i="25"/>
  <c r="B578" i="25"/>
  <c r="B579" i="25"/>
  <c r="B580" i="25"/>
  <c r="B581" i="25"/>
  <c r="B582" i="25"/>
  <c r="B583" i="25"/>
  <c r="B584" i="25"/>
  <c r="B585" i="25"/>
  <c r="B586" i="25"/>
  <c r="B587" i="25"/>
  <c r="B588" i="25"/>
  <c r="B589" i="25"/>
  <c r="B590" i="25"/>
  <c r="B591" i="25"/>
  <c r="B592" i="25"/>
  <c r="B593" i="25"/>
  <c r="B594" i="25"/>
  <c r="B595" i="25"/>
  <c r="B596" i="25"/>
  <c r="B597" i="25"/>
  <c r="B598" i="25"/>
  <c r="B599" i="25"/>
  <c r="B600" i="25"/>
  <c r="B601" i="25"/>
  <c r="B602" i="25"/>
  <c r="B603" i="25"/>
  <c r="B604" i="25"/>
  <c r="B605" i="25"/>
  <c r="B606" i="25"/>
  <c r="B607" i="25"/>
  <c r="B608" i="25"/>
  <c r="B609" i="25"/>
  <c r="B610" i="25"/>
  <c r="B611" i="25"/>
  <c r="B612" i="25"/>
  <c r="B613" i="25"/>
  <c r="B614" i="25"/>
  <c r="B615" i="25"/>
  <c r="B616" i="25"/>
  <c r="B617" i="25"/>
  <c r="B618" i="25"/>
  <c r="B619" i="25"/>
  <c r="B620" i="25"/>
  <c r="B621" i="25"/>
  <c r="B622" i="25"/>
  <c r="B623" i="25"/>
  <c r="B624" i="25"/>
  <c r="B625" i="25"/>
  <c r="B626" i="25"/>
  <c r="B627" i="25"/>
  <c r="B628" i="25"/>
  <c r="B629" i="25"/>
  <c r="B630" i="25"/>
  <c r="B631" i="25"/>
  <c r="B632" i="25"/>
  <c r="B633" i="25"/>
  <c r="B634" i="25"/>
  <c r="B635" i="25"/>
  <c r="B636" i="25"/>
  <c r="B637" i="25"/>
  <c r="B638" i="25"/>
  <c r="B639" i="25"/>
  <c r="B640" i="25"/>
  <c r="B641" i="25"/>
  <c r="B642" i="25"/>
  <c r="B643" i="25"/>
  <c r="B644" i="25"/>
  <c r="B645" i="25"/>
  <c r="B646" i="25"/>
  <c r="B647" i="25"/>
  <c r="B648" i="25"/>
  <c r="B649" i="25"/>
  <c r="B650" i="25"/>
  <c r="B651" i="25"/>
  <c r="B652" i="25"/>
  <c r="B653" i="25"/>
  <c r="B654" i="25"/>
  <c r="B655" i="25"/>
  <c r="B656" i="25"/>
  <c r="B657" i="25"/>
  <c r="B658" i="25"/>
  <c r="B659" i="25"/>
  <c r="B660" i="25"/>
  <c r="B661" i="25"/>
  <c r="B662" i="25"/>
  <c r="B663" i="25"/>
  <c r="B664" i="25"/>
  <c r="B665" i="25"/>
  <c r="B666" i="25"/>
  <c r="B667" i="25"/>
  <c r="B668" i="25"/>
  <c r="B669" i="25"/>
  <c r="B670" i="25"/>
  <c r="B671" i="25"/>
  <c r="B672" i="25"/>
  <c r="B673" i="25"/>
  <c r="B674" i="25"/>
  <c r="B675" i="25"/>
  <c r="B676" i="25"/>
  <c r="B677" i="25"/>
  <c r="B678" i="25"/>
  <c r="B679" i="25"/>
  <c r="B680" i="25"/>
  <c r="B681" i="25"/>
  <c r="B682" i="25"/>
  <c r="B683" i="25"/>
  <c r="B684" i="25"/>
  <c r="B685" i="25"/>
  <c r="B686" i="25"/>
  <c r="B687" i="25"/>
  <c r="B688" i="25"/>
  <c r="B689" i="25"/>
  <c r="B690" i="25"/>
  <c r="B691" i="25"/>
  <c r="B692" i="25"/>
  <c r="B693" i="25"/>
  <c r="B694" i="25"/>
  <c r="B695" i="25"/>
  <c r="B696" i="25"/>
  <c r="B697" i="25"/>
  <c r="B698" i="25"/>
  <c r="B699" i="25"/>
  <c r="B700" i="25"/>
  <c r="B701" i="25"/>
  <c r="B702" i="25"/>
  <c r="B703" i="25"/>
  <c r="B704" i="25"/>
  <c r="B705" i="25"/>
  <c r="B706" i="25"/>
  <c r="B707" i="25"/>
  <c r="B708" i="25"/>
  <c r="B709" i="25"/>
  <c r="B710" i="25"/>
  <c r="B711" i="25"/>
  <c r="B712" i="25"/>
  <c r="B713" i="25"/>
  <c r="B714" i="25"/>
  <c r="B715" i="25"/>
  <c r="B716" i="25"/>
  <c r="B717" i="25"/>
  <c r="B718" i="25"/>
  <c r="B719" i="25"/>
  <c r="B720" i="25"/>
  <c r="B721" i="25"/>
  <c r="B722" i="25"/>
  <c r="B723" i="25"/>
  <c r="B724" i="25"/>
  <c r="B725" i="25"/>
  <c r="B726" i="25"/>
  <c r="B727" i="25"/>
  <c r="B728" i="25"/>
  <c r="B729" i="25"/>
  <c r="B730" i="25"/>
  <c r="B731" i="25"/>
  <c r="B732" i="25"/>
  <c r="B733" i="25"/>
  <c r="B734" i="25"/>
  <c r="B735" i="25"/>
  <c r="B736" i="25"/>
  <c r="B737" i="25"/>
  <c r="B738" i="25"/>
  <c r="B739" i="25"/>
  <c r="B740" i="25"/>
  <c r="B741" i="25"/>
  <c r="B742" i="25"/>
  <c r="B743" i="25"/>
  <c r="B744" i="25"/>
  <c r="B745" i="25"/>
  <c r="B746" i="25"/>
  <c r="B747" i="25"/>
  <c r="B748" i="25"/>
  <c r="B749" i="25"/>
  <c r="B750" i="25"/>
  <c r="B751" i="25"/>
  <c r="B752" i="25"/>
  <c r="B753" i="25"/>
  <c r="B754" i="25"/>
  <c r="B755" i="25"/>
  <c r="B756" i="25"/>
  <c r="B757" i="25"/>
  <c r="B758" i="25"/>
  <c r="B759" i="25"/>
  <c r="B760" i="25"/>
  <c r="B761" i="25"/>
  <c r="B762" i="25"/>
  <c r="B763" i="25"/>
  <c r="B764" i="25"/>
  <c r="B765" i="25"/>
  <c r="B766" i="25"/>
  <c r="B767" i="25"/>
  <c r="B768" i="25"/>
  <c r="B769" i="25"/>
  <c r="B770" i="25"/>
  <c r="B771" i="25"/>
  <c r="B772" i="25"/>
  <c r="B773" i="25"/>
  <c r="B774" i="25"/>
  <c r="B775" i="25"/>
  <c r="B776" i="25"/>
  <c r="B777" i="25"/>
  <c r="B778" i="25"/>
  <c r="B779" i="25"/>
  <c r="B780" i="25"/>
  <c r="B781" i="25"/>
  <c r="B782" i="25"/>
  <c r="B783" i="25"/>
  <c r="B784" i="25"/>
  <c r="B785" i="25"/>
  <c r="B786" i="25"/>
  <c r="B787" i="25"/>
  <c r="B788" i="25"/>
  <c r="B789" i="25"/>
  <c r="B790" i="25"/>
  <c r="B791" i="25"/>
  <c r="B792" i="25"/>
  <c r="B793" i="25"/>
  <c r="B794" i="25"/>
  <c r="B795" i="25"/>
  <c r="B796" i="25"/>
  <c r="B797" i="25"/>
  <c r="B798" i="25"/>
  <c r="B799" i="25"/>
  <c r="B800" i="25"/>
  <c r="B801" i="25"/>
  <c r="B802" i="25"/>
  <c r="B803" i="25"/>
  <c r="B804" i="25"/>
  <c r="B805" i="25"/>
  <c r="B806" i="25"/>
  <c r="B807" i="25"/>
  <c r="B808" i="25"/>
  <c r="B809" i="25"/>
  <c r="B810" i="25"/>
  <c r="B811" i="25"/>
  <c r="B812" i="25"/>
  <c r="B813" i="25"/>
  <c r="B814" i="25"/>
  <c r="B815" i="25"/>
  <c r="B816" i="25"/>
  <c r="B817" i="25"/>
  <c r="B818" i="25"/>
  <c r="B819" i="25"/>
  <c r="B820" i="25"/>
  <c r="B821" i="25"/>
  <c r="B822" i="25"/>
  <c r="B823" i="25"/>
  <c r="B824" i="25"/>
  <c r="B825" i="25"/>
  <c r="B826" i="25"/>
  <c r="B827" i="25"/>
  <c r="B828" i="25"/>
  <c r="B829" i="25"/>
  <c r="B830" i="25"/>
  <c r="B831" i="25"/>
  <c r="B832" i="25"/>
  <c r="B833" i="25"/>
  <c r="B834" i="25"/>
  <c r="B835" i="25"/>
  <c r="B836" i="25"/>
  <c r="B837" i="25"/>
  <c r="B838" i="25"/>
  <c r="B839" i="25"/>
  <c r="B840" i="25"/>
  <c r="B841" i="25"/>
  <c r="B842" i="25"/>
  <c r="B843" i="25"/>
  <c r="B844" i="25"/>
  <c r="B845" i="25"/>
  <c r="B846" i="25"/>
  <c r="B847" i="25"/>
  <c r="B848" i="25"/>
  <c r="B849" i="25"/>
  <c r="B850" i="25"/>
  <c r="B851" i="25"/>
  <c r="B852" i="25"/>
  <c r="B853" i="25"/>
  <c r="B854" i="25"/>
  <c r="B855" i="25"/>
  <c r="B856" i="25"/>
  <c r="B857" i="25"/>
  <c r="B858" i="25"/>
  <c r="B859" i="25"/>
  <c r="B860" i="25"/>
  <c r="B861" i="25"/>
  <c r="B862" i="25"/>
  <c r="B863" i="25"/>
  <c r="B864" i="25"/>
  <c r="B865" i="25"/>
  <c r="B866" i="25"/>
  <c r="B867" i="25"/>
  <c r="B868" i="25"/>
  <c r="B869" i="25"/>
  <c r="B870" i="25"/>
  <c r="B871" i="25"/>
  <c r="B872" i="25"/>
  <c r="B873" i="25"/>
  <c r="B874" i="25"/>
  <c r="B875" i="25"/>
  <c r="B876" i="25"/>
  <c r="B877" i="25"/>
  <c r="B878" i="25"/>
  <c r="B879" i="25"/>
  <c r="B880" i="25"/>
  <c r="B881" i="25"/>
  <c r="B882" i="25"/>
  <c r="B883" i="25"/>
  <c r="B884" i="25"/>
  <c r="B885" i="25"/>
  <c r="B886" i="25"/>
  <c r="B887" i="25"/>
  <c r="B888" i="25"/>
  <c r="B889" i="25"/>
  <c r="B890" i="25"/>
  <c r="B891" i="25"/>
  <c r="B892" i="25"/>
  <c r="B893" i="25"/>
  <c r="B894" i="25"/>
  <c r="B895" i="25"/>
  <c r="B896" i="25"/>
  <c r="B897" i="25"/>
  <c r="B898" i="25"/>
  <c r="B899" i="25"/>
  <c r="B900" i="25"/>
  <c r="B901" i="25"/>
  <c r="B902" i="25"/>
  <c r="B903" i="25"/>
  <c r="B904" i="25"/>
  <c r="B905" i="25"/>
  <c r="B906" i="25"/>
  <c r="B907" i="25"/>
  <c r="B908" i="25"/>
  <c r="B909" i="25"/>
  <c r="B910" i="25"/>
  <c r="B911" i="25"/>
  <c r="B912" i="25"/>
  <c r="B913" i="25"/>
  <c r="A11" i="30" l="1"/>
  <c r="E8" i="34" l="1"/>
  <c r="E7" i="34"/>
  <c r="N35" i="28" l="1"/>
  <c r="R36" i="28" l="1"/>
  <c r="R35" i="28"/>
  <c r="R37" i="28"/>
  <c r="R39" i="28"/>
  <c r="R41" i="28"/>
  <c r="R43" i="28"/>
  <c r="R45" i="28"/>
  <c r="R47" i="28"/>
  <c r="R49" i="28"/>
  <c r="R51" i="28"/>
  <c r="R53" i="28"/>
  <c r="R55" i="28"/>
  <c r="R59" i="28"/>
  <c r="R38" i="28"/>
  <c r="R40" i="28"/>
  <c r="R42" i="28"/>
  <c r="R44" i="28"/>
  <c r="R46" i="28"/>
  <c r="R48" i="28"/>
  <c r="R50" i="28"/>
  <c r="R52" i="28"/>
  <c r="R54" i="28"/>
  <c r="R56" i="28"/>
  <c r="R58" i="28"/>
  <c r="R60" i="28"/>
  <c r="R62" i="28"/>
  <c r="R57" i="28"/>
  <c r="R61" i="28"/>
  <c r="A28" i="28"/>
  <c r="G28" i="28"/>
  <c r="I16" i="28"/>
  <c r="D34" i="33" s="1"/>
  <c r="I34" i="33" l="1"/>
  <c r="I36" i="33"/>
  <c r="C29" i="30"/>
  <c r="C28" i="30"/>
  <c r="E9" i="34"/>
  <c r="A26" i="34" s="1"/>
  <c r="O26" i="34" s="1"/>
  <c r="K6" i="25"/>
  <c r="E11" i="34"/>
  <c r="E10" i="34"/>
  <c r="E4" i="34"/>
  <c r="E26" i="34"/>
  <c r="K14" i="34"/>
  <c r="I24" i="33"/>
  <c r="E12" i="34" s="1"/>
  <c r="J15" i="33"/>
  <c r="J9" i="33"/>
  <c r="I38" i="33" l="1"/>
  <c r="C33" i="30"/>
  <c r="I50" i="33"/>
  <c r="E33" i="30"/>
  <c r="D50" i="33"/>
  <c r="C26" i="34"/>
  <c r="B26" i="34"/>
  <c r="I26" i="34"/>
  <c r="K26" i="34" s="1"/>
  <c r="F26" i="34"/>
  <c r="C26" i="30"/>
  <c r="E13" i="34"/>
  <c r="K5" i="25"/>
  <c r="A27" i="34"/>
  <c r="O27" i="34" l="1"/>
  <c r="B27" i="34"/>
  <c r="C27" i="34"/>
  <c r="D27" i="34"/>
  <c r="I27" i="34"/>
  <c r="K27" i="34" s="1"/>
  <c r="F27" i="34"/>
  <c r="G26" i="34"/>
  <c r="A28" i="34"/>
  <c r="O28" i="34" l="1"/>
  <c r="C28" i="34"/>
  <c r="D28" i="34"/>
  <c r="B28" i="34"/>
  <c r="I28" i="34"/>
  <c r="K28" i="34" s="1"/>
  <c r="F28" i="34"/>
  <c r="H26" i="34"/>
  <c r="M26" i="34" s="1"/>
  <c r="G27" i="34"/>
  <c r="H27" i="34" s="1"/>
  <c r="M27" i="34" s="1"/>
  <c r="A29" i="34"/>
  <c r="E27" i="34"/>
  <c r="B29" i="34" l="1"/>
  <c r="O29" i="34"/>
  <c r="D29" i="34"/>
  <c r="C29" i="34"/>
  <c r="I29" i="34"/>
  <c r="K29" i="34" s="1"/>
  <c r="F29" i="34"/>
  <c r="G28" i="34"/>
  <c r="H28" i="34" s="1"/>
  <c r="M28" i="34" s="1"/>
  <c r="E28" i="34"/>
  <c r="A30" i="34"/>
  <c r="O30" i="34" l="1"/>
  <c r="C30" i="34"/>
  <c r="D30" i="34"/>
  <c r="B30" i="34"/>
  <c r="I30" i="34"/>
  <c r="K30" i="34" s="1"/>
  <c r="F30" i="34"/>
  <c r="G29" i="34"/>
  <c r="H29" i="34" s="1"/>
  <c r="M29" i="34" s="1"/>
  <c r="A31" i="34"/>
  <c r="E29" i="34"/>
  <c r="O31" i="34" l="1"/>
  <c r="C31" i="34"/>
  <c r="D31" i="34"/>
  <c r="B31" i="34"/>
  <c r="I31" i="34"/>
  <c r="K31" i="34" s="1"/>
  <c r="F31" i="34"/>
  <c r="G30" i="34"/>
  <c r="H30" i="34" s="1"/>
  <c r="M30" i="34" s="1"/>
  <c r="E30" i="34"/>
  <c r="A32" i="34"/>
  <c r="O32" i="34" l="1"/>
  <c r="C32" i="34"/>
  <c r="D32" i="34"/>
  <c r="B32" i="34"/>
  <c r="I32" i="34"/>
  <c r="K32" i="34" s="1"/>
  <c r="F32" i="34"/>
  <c r="G31" i="34"/>
  <c r="H31" i="34" s="1"/>
  <c r="M31" i="34" s="1"/>
  <c r="A33" i="34"/>
  <c r="E31" i="34"/>
  <c r="O33" i="34" l="1"/>
  <c r="C33" i="34"/>
  <c r="D33" i="34"/>
  <c r="B33" i="34"/>
  <c r="I33" i="34"/>
  <c r="K33" i="34" s="1"/>
  <c r="F33" i="34"/>
  <c r="G32" i="34"/>
  <c r="H32" i="34" s="1"/>
  <c r="M32" i="34" s="1"/>
  <c r="E32" i="34"/>
  <c r="A34" i="34"/>
  <c r="O34" i="34" l="1"/>
  <c r="C34" i="34"/>
  <c r="D34" i="34"/>
  <c r="B34" i="34"/>
  <c r="I34" i="34"/>
  <c r="K34" i="34" s="1"/>
  <c r="F34" i="34"/>
  <c r="G33" i="34"/>
  <c r="H33" i="34" s="1"/>
  <c r="M33" i="34" s="1"/>
  <c r="A35" i="34"/>
  <c r="E33" i="34"/>
  <c r="O35" i="34" l="1"/>
  <c r="C35" i="34"/>
  <c r="D35" i="34"/>
  <c r="B35" i="34"/>
  <c r="I35" i="34"/>
  <c r="K35" i="34" s="1"/>
  <c r="F35" i="34"/>
  <c r="G34" i="34"/>
  <c r="H34" i="34" s="1"/>
  <c r="M34" i="34" s="1"/>
  <c r="E34" i="34"/>
  <c r="A36" i="34"/>
  <c r="O36" i="34" l="1"/>
  <c r="D36" i="34"/>
  <c r="B36" i="34"/>
  <c r="C36" i="34"/>
  <c r="I36" i="34"/>
  <c r="K36" i="34" s="1"/>
  <c r="F36" i="34"/>
  <c r="G35" i="34"/>
  <c r="H35" i="34" s="1"/>
  <c r="M35" i="34" s="1"/>
  <c r="A37" i="34"/>
  <c r="E35" i="34"/>
  <c r="O37" i="34" l="1"/>
  <c r="D37" i="34"/>
  <c r="C37" i="34"/>
  <c r="B37" i="34"/>
  <c r="I37" i="34"/>
  <c r="K37" i="34" s="1"/>
  <c r="F37" i="34"/>
  <c r="G36" i="34"/>
  <c r="E36" i="34"/>
  <c r="A38" i="34"/>
  <c r="O38" i="34" l="1"/>
  <c r="D38" i="34"/>
  <c r="B38" i="34"/>
  <c r="C38" i="34"/>
  <c r="I38" i="34"/>
  <c r="K38" i="34" s="1"/>
  <c r="F38" i="34"/>
  <c r="H36" i="34"/>
  <c r="M36" i="34" s="1"/>
  <c r="G37" i="34"/>
  <c r="E37" i="34"/>
  <c r="A39" i="34"/>
  <c r="O39" i="34" l="1"/>
  <c r="D39" i="34"/>
  <c r="C39" i="34"/>
  <c r="B39" i="34"/>
  <c r="I39" i="34"/>
  <c r="K39" i="34" s="1"/>
  <c r="F39" i="34"/>
  <c r="H37" i="34"/>
  <c r="M37" i="34" s="1"/>
  <c r="G38" i="34"/>
  <c r="H38" i="34" s="1"/>
  <c r="M38" i="34" s="1"/>
  <c r="A40" i="34"/>
  <c r="E38" i="34"/>
  <c r="O40" i="34" l="1"/>
  <c r="D40" i="34"/>
  <c r="B40" i="34"/>
  <c r="C40" i="34"/>
  <c r="I40" i="34"/>
  <c r="K40" i="34" s="1"/>
  <c r="F40" i="34"/>
  <c r="G39" i="34"/>
  <c r="H39" i="34" s="1"/>
  <c r="M39" i="34" s="1"/>
  <c r="E39" i="34"/>
  <c r="A41" i="34"/>
  <c r="E6" i="28"/>
  <c r="A7" i="30"/>
  <c r="E20" i="30"/>
  <c r="G20" i="30" s="1"/>
  <c r="C20" i="30"/>
  <c r="E21" i="30"/>
  <c r="C21" i="30"/>
  <c r="A5" i="30"/>
  <c r="A3" i="30"/>
  <c r="O41" i="34" l="1"/>
  <c r="D41" i="34"/>
  <c r="C41" i="34"/>
  <c r="B41" i="34"/>
  <c r="I41" i="34"/>
  <c r="K41" i="34" s="1"/>
  <c r="F41" i="34"/>
  <c r="G40" i="34"/>
  <c r="H40" i="34" s="1"/>
  <c r="M40" i="34" s="1"/>
  <c r="D107" i="25"/>
  <c r="D115" i="25"/>
  <c r="D123" i="25"/>
  <c r="D131" i="25"/>
  <c r="D139" i="25"/>
  <c r="D147" i="25"/>
  <c r="D155" i="25"/>
  <c r="D163" i="25"/>
  <c r="D171" i="25"/>
  <c r="D179" i="25"/>
  <c r="D186" i="25"/>
  <c r="D193" i="25"/>
  <c r="D199" i="25"/>
  <c r="D207" i="25"/>
  <c r="D213" i="25"/>
  <c r="D221" i="25"/>
  <c r="D229" i="25"/>
  <c r="D237" i="25"/>
  <c r="D245" i="25"/>
  <c r="D251" i="25"/>
  <c r="D105" i="25"/>
  <c r="D117" i="25"/>
  <c r="D127" i="25"/>
  <c r="D137" i="25"/>
  <c r="D149" i="25"/>
  <c r="D159" i="25"/>
  <c r="D169" i="25"/>
  <c r="D181" i="25"/>
  <c r="D189" i="25"/>
  <c r="D198" i="25"/>
  <c r="D209" i="25"/>
  <c r="D217" i="25"/>
  <c r="D227" i="25"/>
  <c r="D239" i="25"/>
  <c r="D249" i="25"/>
  <c r="D257" i="25"/>
  <c r="D263" i="25"/>
  <c r="D271" i="25"/>
  <c r="D277" i="25"/>
  <c r="D285" i="25"/>
  <c r="D293" i="25"/>
  <c r="D301" i="25"/>
  <c r="D309" i="25"/>
  <c r="D315" i="25"/>
  <c r="D323" i="25"/>
  <c r="D329" i="25"/>
  <c r="D337" i="25"/>
  <c r="D343" i="25"/>
  <c r="D351" i="25"/>
  <c r="D359" i="25"/>
  <c r="D367" i="25"/>
  <c r="D372" i="25"/>
  <c r="D377" i="25"/>
  <c r="D383" i="25"/>
  <c r="D388" i="25"/>
  <c r="D393" i="25"/>
  <c r="D399" i="25"/>
  <c r="D404" i="25"/>
  <c r="D409" i="25"/>
  <c r="D415" i="25"/>
  <c r="D420" i="25"/>
  <c r="D425" i="25"/>
  <c r="D431" i="25"/>
  <c r="D436" i="25"/>
  <c r="D441" i="25"/>
  <c r="D447" i="25"/>
  <c r="D452" i="25"/>
  <c r="D457" i="25"/>
  <c r="D463" i="25"/>
  <c r="D468" i="25"/>
  <c r="D473" i="25"/>
  <c r="D479" i="25"/>
  <c r="D484" i="25"/>
  <c r="D489" i="25"/>
  <c r="D495" i="25"/>
  <c r="D500" i="25"/>
  <c r="D505" i="25"/>
  <c r="D511" i="25"/>
  <c r="D516" i="25"/>
  <c r="D521" i="25"/>
  <c r="D527" i="25"/>
  <c r="D532" i="25"/>
  <c r="D537" i="25"/>
  <c r="D543" i="25"/>
  <c r="D548" i="25"/>
  <c r="D553" i="25"/>
  <c r="D559" i="25"/>
  <c r="D564" i="25"/>
  <c r="D569" i="25"/>
  <c r="D575" i="25"/>
  <c r="D580" i="25"/>
  <c r="D109" i="25"/>
  <c r="D119" i="25"/>
  <c r="D129" i="25"/>
  <c r="D141" i="25"/>
  <c r="D151" i="25"/>
  <c r="D161" i="25"/>
  <c r="D173" i="25"/>
  <c r="D183" i="25"/>
  <c r="D191" i="25"/>
  <c r="D201" i="25"/>
  <c r="D210" i="25"/>
  <c r="D219" i="25"/>
  <c r="D231" i="25"/>
  <c r="D241" i="25"/>
  <c r="D250" i="25"/>
  <c r="D259" i="25"/>
  <c r="D265" i="25"/>
  <c r="D273" i="25"/>
  <c r="D279" i="25"/>
  <c r="D287" i="25"/>
  <c r="D295" i="25"/>
  <c r="D303" i="25"/>
  <c r="D311" i="25"/>
  <c r="D317" i="25"/>
  <c r="D325" i="25"/>
  <c r="D331" i="25"/>
  <c r="D338" i="25"/>
  <c r="D345" i="25"/>
  <c r="D353" i="25"/>
  <c r="D361" i="25"/>
  <c r="D368" i="25"/>
  <c r="D373" i="25"/>
  <c r="D379" i="25"/>
  <c r="D384" i="25"/>
  <c r="D389" i="25"/>
  <c r="D395" i="25"/>
  <c r="D400" i="25"/>
  <c r="D405" i="25"/>
  <c r="D411" i="25"/>
  <c r="D416" i="25"/>
  <c r="D421" i="25"/>
  <c r="D427" i="25"/>
  <c r="D432" i="25"/>
  <c r="D437" i="25"/>
  <c r="D443" i="25"/>
  <c r="D448" i="25"/>
  <c r="D453" i="25"/>
  <c r="D459" i="25"/>
  <c r="D464" i="25"/>
  <c r="D469" i="25"/>
  <c r="D475" i="25"/>
  <c r="D480" i="25"/>
  <c r="D485" i="25"/>
  <c r="D491" i="25"/>
  <c r="D496" i="25"/>
  <c r="D501" i="25"/>
  <c r="D507" i="25"/>
  <c r="D512" i="25"/>
  <c r="D517" i="25"/>
  <c r="D523" i="25"/>
  <c r="D528" i="25"/>
  <c r="D533" i="25"/>
  <c r="D539" i="25"/>
  <c r="D544" i="25"/>
  <c r="D549" i="25"/>
  <c r="D555" i="25"/>
  <c r="D560" i="25"/>
  <c r="D565" i="25"/>
  <c r="D571" i="25"/>
  <c r="D576" i="25"/>
  <c r="D581" i="25"/>
  <c r="D587" i="25"/>
  <c r="D592" i="25"/>
  <c r="D113" i="25"/>
  <c r="D125" i="25"/>
  <c r="D135" i="25"/>
  <c r="D145" i="25"/>
  <c r="D157" i="25"/>
  <c r="D167" i="25"/>
  <c r="D177" i="25"/>
  <c r="D187" i="25"/>
  <c r="D197" i="25"/>
  <c r="D205" i="25"/>
  <c r="D215" i="25"/>
  <c r="D225" i="25"/>
  <c r="D235" i="25"/>
  <c r="D247" i="25"/>
  <c r="D255" i="25"/>
  <c r="D262" i="25"/>
  <c r="D269" i="25"/>
  <c r="D275" i="25"/>
  <c r="D283" i="25"/>
  <c r="D291" i="25"/>
  <c r="D299" i="25"/>
  <c r="D307" i="25"/>
  <c r="D314" i="25"/>
  <c r="D321" i="25"/>
  <c r="D327" i="25"/>
  <c r="D335" i="25"/>
  <c r="D341" i="25"/>
  <c r="D349" i="25"/>
  <c r="D357" i="25"/>
  <c r="D365" i="25"/>
  <c r="D371" i="25"/>
  <c r="D376" i="25"/>
  <c r="D381" i="25"/>
  <c r="D387" i="25"/>
  <c r="D392" i="25"/>
  <c r="D397" i="25"/>
  <c r="D403" i="25"/>
  <c r="D408" i="25"/>
  <c r="D413" i="25"/>
  <c r="D419" i="25"/>
  <c r="D424" i="25"/>
  <c r="D429" i="25"/>
  <c r="D435" i="25"/>
  <c r="D440" i="25"/>
  <c r="D445" i="25"/>
  <c r="D451" i="25"/>
  <c r="D456" i="25"/>
  <c r="D461" i="25"/>
  <c r="D467" i="25"/>
  <c r="D472" i="25"/>
  <c r="D477" i="25"/>
  <c r="D483" i="25"/>
  <c r="D488" i="25"/>
  <c r="D493" i="25"/>
  <c r="D499" i="25"/>
  <c r="D504" i="25"/>
  <c r="D509" i="25"/>
  <c r="D515" i="25"/>
  <c r="D520" i="25"/>
  <c r="D525" i="25"/>
  <c r="D531" i="25"/>
  <c r="D536" i="25"/>
  <c r="D541" i="25"/>
  <c r="D547" i="25"/>
  <c r="D552" i="25"/>
  <c r="D557" i="25"/>
  <c r="D563" i="25"/>
  <c r="D568" i="25"/>
  <c r="D573" i="25"/>
  <c r="D579" i="25"/>
  <c r="D584" i="25"/>
  <c r="D589" i="25"/>
  <c r="D121" i="25"/>
  <c r="D165" i="25"/>
  <c r="D203" i="25"/>
  <c r="D243" i="25"/>
  <c r="D274" i="25"/>
  <c r="D305" i="25"/>
  <c r="D333" i="25"/>
  <c r="D363" i="25"/>
  <c r="D385" i="25"/>
  <c r="D407" i="25"/>
  <c r="D428" i="25"/>
  <c r="D449" i="25"/>
  <c r="D471" i="25"/>
  <c r="D492" i="25"/>
  <c r="D513" i="25"/>
  <c r="D535" i="25"/>
  <c r="D556" i="25"/>
  <c r="D577" i="25"/>
  <c r="D591" i="25"/>
  <c r="D597" i="25"/>
  <c r="D603" i="25"/>
  <c r="D608" i="25"/>
  <c r="D613" i="25"/>
  <c r="D619" i="25"/>
  <c r="D624" i="25"/>
  <c r="D629" i="25"/>
  <c r="D635" i="25"/>
  <c r="D640" i="25"/>
  <c r="D645" i="25"/>
  <c r="D651" i="25"/>
  <c r="D655" i="25"/>
  <c r="D659" i="25"/>
  <c r="D663" i="25"/>
  <c r="D667" i="25"/>
  <c r="D671" i="25"/>
  <c r="D675" i="25"/>
  <c r="D679" i="25"/>
  <c r="D683" i="25"/>
  <c r="D687" i="25"/>
  <c r="D691" i="25"/>
  <c r="D695" i="25"/>
  <c r="D699" i="25"/>
  <c r="D703" i="25"/>
  <c r="D707" i="25"/>
  <c r="D711" i="25"/>
  <c r="D715" i="25"/>
  <c r="D719" i="25"/>
  <c r="D723" i="25"/>
  <c r="D727" i="25"/>
  <c r="D731" i="25"/>
  <c r="D735" i="25"/>
  <c r="D739" i="25"/>
  <c r="D743" i="25"/>
  <c r="D747" i="25"/>
  <c r="D751" i="25"/>
  <c r="D755" i="25"/>
  <c r="D759" i="25"/>
  <c r="D763" i="25"/>
  <c r="D767" i="25"/>
  <c r="D771" i="25"/>
  <c r="D775" i="25"/>
  <c r="D779" i="25"/>
  <c r="D783" i="25"/>
  <c r="D787" i="25"/>
  <c r="D791" i="25"/>
  <c r="D795" i="25"/>
  <c r="D799" i="25"/>
  <c r="D803" i="25"/>
  <c r="D807" i="25"/>
  <c r="D811" i="25"/>
  <c r="D815" i="25"/>
  <c r="D819" i="25"/>
  <c r="D823" i="25"/>
  <c r="D827" i="25"/>
  <c r="D831" i="25"/>
  <c r="D835" i="25"/>
  <c r="D839" i="25"/>
  <c r="D843" i="25"/>
  <c r="D847" i="25"/>
  <c r="D851" i="25"/>
  <c r="D855" i="25"/>
  <c r="D143" i="25"/>
  <c r="D185" i="25"/>
  <c r="D223" i="25"/>
  <c r="D261" i="25"/>
  <c r="D289" i="25"/>
  <c r="D319" i="25"/>
  <c r="D347" i="25"/>
  <c r="D375" i="25"/>
  <c r="D396" i="25"/>
  <c r="D417" i="25"/>
  <c r="D439" i="25"/>
  <c r="D460" i="25"/>
  <c r="D481" i="25"/>
  <c r="D503" i="25"/>
  <c r="D524" i="25"/>
  <c r="D545" i="25"/>
  <c r="D567" i="25"/>
  <c r="D585" i="25"/>
  <c r="D595" i="25"/>
  <c r="D600" i="25"/>
  <c r="D605" i="25"/>
  <c r="D611" i="25"/>
  <c r="D616" i="25"/>
  <c r="D621" i="25"/>
  <c r="D627" i="25"/>
  <c r="D632" i="25"/>
  <c r="D637" i="25"/>
  <c r="D643" i="25"/>
  <c r="D648" i="25"/>
  <c r="D653" i="25"/>
  <c r="D657" i="25"/>
  <c r="D661" i="25"/>
  <c r="D665" i="25"/>
  <c r="D669" i="25"/>
  <c r="D673" i="25"/>
  <c r="D677" i="25"/>
  <c r="D681" i="25"/>
  <c r="D685" i="25"/>
  <c r="D689" i="25"/>
  <c r="D693" i="25"/>
  <c r="D697" i="25"/>
  <c r="D701" i="25"/>
  <c r="D705" i="25"/>
  <c r="D709" i="25"/>
  <c r="D713" i="25"/>
  <c r="D717" i="25"/>
  <c r="D721" i="25"/>
  <c r="D725" i="25"/>
  <c r="D729" i="25"/>
  <c r="D733" i="25"/>
  <c r="D737" i="25"/>
  <c r="D741" i="25"/>
  <c r="D745" i="25"/>
  <c r="D749" i="25"/>
  <c r="D753" i="25"/>
  <c r="D757" i="25"/>
  <c r="D761" i="25"/>
  <c r="D765" i="25"/>
  <c r="D769" i="25"/>
  <c r="D773" i="25"/>
  <c r="D777" i="25"/>
  <c r="D781" i="25"/>
  <c r="D785" i="25"/>
  <c r="D789" i="25"/>
  <c r="D793" i="25"/>
  <c r="D797" i="25"/>
  <c r="D801" i="25"/>
  <c r="D805" i="25"/>
  <c r="D809" i="25"/>
  <c r="D813" i="25"/>
  <c r="D817" i="25"/>
  <c r="D821" i="25"/>
  <c r="D825" i="25"/>
  <c r="D829" i="25"/>
  <c r="D833" i="25"/>
  <c r="D837" i="25"/>
  <c r="D841" i="25"/>
  <c r="D845" i="25"/>
  <c r="D849" i="25"/>
  <c r="D853" i="25"/>
  <c r="D857" i="25"/>
  <c r="D861" i="25"/>
  <c r="D111" i="25"/>
  <c r="D153" i="25"/>
  <c r="D195" i="25"/>
  <c r="D233" i="25"/>
  <c r="D267" i="25"/>
  <c r="D297" i="25"/>
  <c r="D326" i="25"/>
  <c r="D355" i="25"/>
  <c r="D380" i="25"/>
  <c r="D401" i="25"/>
  <c r="D423" i="25"/>
  <c r="D444" i="25"/>
  <c r="D465" i="25"/>
  <c r="D487" i="25"/>
  <c r="D508" i="25"/>
  <c r="D253" i="25"/>
  <c r="D369" i="25"/>
  <c r="D455" i="25"/>
  <c r="D529" i="25"/>
  <c r="D572" i="25"/>
  <c r="D596" i="25"/>
  <c r="D607" i="25"/>
  <c r="D617" i="25"/>
  <c r="D628" i="25"/>
  <c r="D639" i="25"/>
  <c r="D649" i="25"/>
  <c r="D658" i="25"/>
  <c r="D666" i="25"/>
  <c r="D674" i="25"/>
  <c r="D682" i="25"/>
  <c r="D690" i="25"/>
  <c r="D698" i="25"/>
  <c r="D706" i="25"/>
  <c r="D714" i="25"/>
  <c r="D722" i="25"/>
  <c r="D730" i="25"/>
  <c r="D738" i="25"/>
  <c r="D746" i="25"/>
  <c r="D754" i="25"/>
  <c r="D762" i="25"/>
  <c r="D770" i="25"/>
  <c r="D778" i="25"/>
  <c r="D786" i="25"/>
  <c r="D794" i="25"/>
  <c r="D802" i="25"/>
  <c r="D810" i="25"/>
  <c r="D818" i="25"/>
  <c r="D826" i="25"/>
  <c r="D834" i="25"/>
  <c r="D842" i="25"/>
  <c r="D850" i="25"/>
  <c r="D858" i="25"/>
  <c r="D863" i="25"/>
  <c r="D867" i="25"/>
  <c r="D871" i="25"/>
  <c r="D875" i="25"/>
  <c r="D879" i="25"/>
  <c r="D883" i="25"/>
  <c r="D887" i="25"/>
  <c r="D891" i="25"/>
  <c r="D895" i="25"/>
  <c r="D899" i="25"/>
  <c r="D903" i="25"/>
  <c r="D907" i="25"/>
  <c r="D911" i="25"/>
  <c r="D281" i="25"/>
  <c r="D540" i="25"/>
  <c r="D599" i="25"/>
  <c r="D631" i="25"/>
  <c r="D660" i="25"/>
  <c r="D684" i="25"/>
  <c r="D708" i="25"/>
  <c r="D724" i="25"/>
  <c r="D748" i="25"/>
  <c r="D772" i="25"/>
  <c r="D796" i="25"/>
  <c r="D820" i="25"/>
  <c r="D844" i="25"/>
  <c r="D864" i="25"/>
  <c r="D880" i="25"/>
  <c r="D888" i="25"/>
  <c r="D900" i="25"/>
  <c r="D912" i="25"/>
  <c r="D175" i="25"/>
  <c r="D313" i="25"/>
  <c r="D412" i="25"/>
  <c r="D497" i="25"/>
  <c r="D551" i="25"/>
  <c r="D588" i="25"/>
  <c r="D601" i="25"/>
  <c r="D612" i="25"/>
  <c r="D623" i="25"/>
  <c r="D633" i="25"/>
  <c r="D644" i="25"/>
  <c r="D654" i="25"/>
  <c r="D662" i="25"/>
  <c r="D670" i="25"/>
  <c r="D678" i="25"/>
  <c r="D686" i="25"/>
  <c r="D694" i="25"/>
  <c r="D702" i="25"/>
  <c r="D710" i="25"/>
  <c r="D718" i="25"/>
  <c r="D726" i="25"/>
  <c r="D734" i="25"/>
  <c r="D742" i="25"/>
  <c r="D750" i="25"/>
  <c r="D758" i="25"/>
  <c r="D766" i="25"/>
  <c r="D774" i="25"/>
  <c r="D782" i="25"/>
  <c r="D790" i="25"/>
  <c r="D798" i="25"/>
  <c r="D806" i="25"/>
  <c r="D814" i="25"/>
  <c r="D822" i="25"/>
  <c r="D830" i="25"/>
  <c r="D838" i="25"/>
  <c r="D846" i="25"/>
  <c r="D854" i="25"/>
  <c r="D860" i="25"/>
  <c r="D865" i="25"/>
  <c r="D869" i="25"/>
  <c r="D873" i="25"/>
  <c r="D877" i="25"/>
  <c r="D881" i="25"/>
  <c r="D885" i="25"/>
  <c r="D889" i="25"/>
  <c r="D893" i="25"/>
  <c r="D897" i="25"/>
  <c r="D901" i="25"/>
  <c r="D905" i="25"/>
  <c r="D909" i="25"/>
  <c r="D913" i="25"/>
  <c r="D133" i="25"/>
  <c r="D476" i="25"/>
  <c r="D609" i="25"/>
  <c r="D641" i="25"/>
  <c r="D676" i="25"/>
  <c r="D692" i="25"/>
  <c r="D716" i="25"/>
  <c r="D740" i="25"/>
  <c r="D764" i="25"/>
  <c r="D788" i="25"/>
  <c r="D812" i="25"/>
  <c r="D836" i="25"/>
  <c r="D859" i="25"/>
  <c r="D872" i="25"/>
  <c r="D884" i="25"/>
  <c r="D896" i="25"/>
  <c r="D908" i="25"/>
  <c r="D211" i="25"/>
  <c r="D339" i="25"/>
  <c r="D433" i="25"/>
  <c r="D519" i="25"/>
  <c r="D561" i="25"/>
  <c r="D593" i="25"/>
  <c r="D604" i="25"/>
  <c r="D615" i="25"/>
  <c r="D625" i="25"/>
  <c r="D636" i="25"/>
  <c r="D647" i="25"/>
  <c r="D656" i="25"/>
  <c r="D664" i="25"/>
  <c r="D672" i="25"/>
  <c r="D680" i="25"/>
  <c r="D688" i="25"/>
  <c r="D696" i="25"/>
  <c r="D704" i="25"/>
  <c r="D712" i="25"/>
  <c r="D720" i="25"/>
  <c r="D728" i="25"/>
  <c r="D736" i="25"/>
  <c r="D744" i="25"/>
  <c r="D752" i="25"/>
  <c r="D760" i="25"/>
  <c r="D768" i="25"/>
  <c r="D776" i="25"/>
  <c r="D784" i="25"/>
  <c r="D792" i="25"/>
  <c r="D800" i="25"/>
  <c r="D808" i="25"/>
  <c r="D816" i="25"/>
  <c r="D824" i="25"/>
  <c r="D832" i="25"/>
  <c r="D840" i="25"/>
  <c r="D848" i="25"/>
  <c r="D856" i="25"/>
  <c r="D862" i="25"/>
  <c r="D866" i="25"/>
  <c r="D870" i="25"/>
  <c r="D874" i="25"/>
  <c r="D878" i="25"/>
  <c r="D882" i="25"/>
  <c r="D886" i="25"/>
  <c r="D890" i="25"/>
  <c r="D894" i="25"/>
  <c r="D898" i="25"/>
  <c r="D902" i="25"/>
  <c r="D906" i="25"/>
  <c r="D910" i="25"/>
  <c r="D391" i="25"/>
  <c r="D583" i="25"/>
  <c r="D620" i="25"/>
  <c r="D652" i="25"/>
  <c r="D668" i="25"/>
  <c r="D700" i="25"/>
  <c r="D732" i="25"/>
  <c r="D756" i="25"/>
  <c r="D780" i="25"/>
  <c r="D804" i="25"/>
  <c r="D828" i="25"/>
  <c r="D852" i="25"/>
  <c r="D868" i="25"/>
  <c r="D876" i="25"/>
  <c r="D892" i="25"/>
  <c r="D904" i="25"/>
  <c r="D650" i="25"/>
  <c r="D634" i="25"/>
  <c r="D618" i="25"/>
  <c r="D602" i="25"/>
  <c r="D586" i="25"/>
  <c r="D570" i="25"/>
  <c r="D554" i="25"/>
  <c r="D538" i="25"/>
  <c r="D522" i="25"/>
  <c r="D506" i="25"/>
  <c r="D490" i="25"/>
  <c r="D474" i="25"/>
  <c r="D458" i="25"/>
  <c r="D442" i="25"/>
  <c r="D426" i="25"/>
  <c r="D410" i="25"/>
  <c r="D394" i="25"/>
  <c r="D378" i="25"/>
  <c r="D364" i="25"/>
  <c r="D350" i="25"/>
  <c r="D330" i="25"/>
  <c r="D306" i="25"/>
  <c r="D290" i="25"/>
  <c r="D270" i="25"/>
  <c r="D246" i="25"/>
  <c r="D230" i="25"/>
  <c r="D214" i="25"/>
  <c r="D190" i="25"/>
  <c r="D170" i="25"/>
  <c r="D154" i="25"/>
  <c r="D138" i="25"/>
  <c r="D122" i="25"/>
  <c r="D106" i="25"/>
  <c r="D348" i="25"/>
  <c r="D332" i="25"/>
  <c r="D316" i="25"/>
  <c r="D300" i="25"/>
  <c r="D284" i="25"/>
  <c r="D268" i="25"/>
  <c r="D252" i="25"/>
  <c r="D220" i="25"/>
  <c r="D188" i="25"/>
  <c r="D156" i="25"/>
  <c r="D124" i="25"/>
  <c r="D108" i="25"/>
  <c r="D530" i="25"/>
  <c r="D434" i="25"/>
  <c r="D386" i="25"/>
  <c r="D342" i="25"/>
  <c r="D282" i="25"/>
  <c r="D238" i="25"/>
  <c r="D178" i="25"/>
  <c r="D146" i="25"/>
  <c r="D356" i="25"/>
  <c r="D308" i="25"/>
  <c r="D260" i="25"/>
  <c r="D228" i="25"/>
  <c r="D180" i="25"/>
  <c r="D148" i="25"/>
  <c r="D646" i="25"/>
  <c r="D630" i="25"/>
  <c r="D614" i="25"/>
  <c r="D598" i="25"/>
  <c r="D582" i="25"/>
  <c r="D566" i="25"/>
  <c r="D550" i="25"/>
  <c r="D534" i="25"/>
  <c r="D518" i="25"/>
  <c r="D502" i="25"/>
  <c r="D486" i="25"/>
  <c r="D470" i="25"/>
  <c r="D454" i="25"/>
  <c r="D438" i="25"/>
  <c r="D422" i="25"/>
  <c r="D406" i="25"/>
  <c r="D390" i="25"/>
  <c r="D374" i="25"/>
  <c r="D362" i="25"/>
  <c r="D346" i="25"/>
  <c r="D322" i="25"/>
  <c r="D302" i="25"/>
  <c r="D286" i="25"/>
  <c r="D266" i="25"/>
  <c r="D242" i="25"/>
  <c r="D226" i="25"/>
  <c r="D206" i="25"/>
  <c r="D182" i="25"/>
  <c r="D166" i="25"/>
  <c r="D150" i="25"/>
  <c r="D134" i="25"/>
  <c r="D118" i="25"/>
  <c r="D360" i="25"/>
  <c r="D344" i="25"/>
  <c r="D328" i="25"/>
  <c r="D312" i="25"/>
  <c r="D296" i="25"/>
  <c r="D280" i="25"/>
  <c r="D264" i="25"/>
  <c r="D248" i="25"/>
  <c r="D232" i="25"/>
  <c r="D216" i="25"/>
  <c r="D200" i="25"/>
  <c r="D184" i="25"/>
  <c r="D168" i="25"/>
  <c r="D152" i="25"/>
  <c r="D136" i="25"/>
  <c r="D120" i="25"/>
  <c r="D104" i="25"/>
  <c r="D642" i="25"/>
  <c r="D626" i="25"/>
  <c r="D610" i="25"/>
  <c r="D594" i="25"/>
  <c r="D578" i="25"/>
  <c r="D546" i="25"/>
  <c r="D514" i="25"/>
  <c r="D482" i="25"/>
  <c r="D450" i="25"/>
  <c r="D402" i="25"/>
  <c r="D358" i="25"/>
  <c r="D298" i="25"/>
  <c r="D222" i="25"/>
  <c r="D162" i="25"/>
  <c r="D114" i="25"/>
  <c r="D324" i="25"/>
  <c r="D276" i="25"/>
  <c r="D212" i="25"/>
  <c r="D164" i="25"/>
  <c r="D116" i="25"/>
  <c r="D638" i="25"/>
  <c r="D622" i="25"/>
  <c r="D606" i="25"/>
  <c r="D590" i="25"/>
  <c r="D574" i="25"/>
  <c r="D558" i="25"/>
  <c r="D542" i="25"/>
  <c r="D526" i="25"/>
  <c r="D510" i="25"/>
  <c r="D494" i="25"/>
  <c r="D478" i="25"/>
  <c r="D462" i="25"/>
  <c r="D446" i="25"/>
  <c r="D430" i="25"/>
  <c r="D414" i="25"/>
  <c r="D398" i="25"/>
  <c r="D382" i="25"/>
  <c r="D366" i="25"/>
  <c r="D354" i="25"/>
  <c r="D334" i="25"/>
  <c r="D310" i="25"/>
  <c r="D294" i="25"/>
  <c r="D278" i="25"/>
  <c r="D254" i="25"/>
  <c r="D234" i="25"/>
  <c r="D218" i="25"/>
  <c r="D194" i="25"/>
  <c r="D174" i="25"/>
  <c r="D158" i="25"/>
  <c r="D142" i="25"/>
  <c r="D126" i="25"/>
  <c r="D110" i="25"/>
  <c r="D352" i="25"/>
  <c r="D336" i="25"/>
  <c r="D320" i="25"/>
  <c r="D304" i="25"/>
  <c r="D288" i="25"/>
  <c r="D272" i="25"/>
  <c r="D256" i="25"/>
  <c r="D240" i="25"/>
  <c r="D224" i="25"/>
  <c r="D208" i="25"/>
  <c r="D192" i="25"/>
  <c r="D176" i="25"/>
  <c r="D160" i="25"/>
  <c r="D144" i="25"/>
  <c r="D128" i="25"/>
  <c r="D112" i="25"/>
  <c r="D236" i="25"/>
  <c r="D204" i="25"/>
  <c r="D172" i="25"/>
  <c r="D140" i="25"/>
  <c r="D562" i="25"/>
  <c r="D498" i="25"/>
  <c r="D466" i="25"/>
  <c r="D418" i="25"/>
  <c r="D370" i="25"/>
  <c r="D318" i="25"/>
  <c r="D258" i="25"/>
  <c r="D202" i="25"/>
  <c r="D130" i="25"/>
  <c r="D340" i="25"/>
  <c r="D292" i="25"/>
  <c r="D244" i="25"/>
  <c r="D196" i="25"/>
  <c r="D132" i="25"/>
  <c r="A42" i="34"/>
  <c r="E40" i="34"/>
  <c r="G58" i="28"/>
  <c r="A58" i="28"/>
  <c r="H11" i="28"/>
  <c r="H10" i="28"/>
  <c r="A29" i="28"/>
  <c r="G29" i="28"/>
  <c r="I5" i="28"/>
  <c r="E9" i="28"/>
  <c r="I4" i="28"/>
  <c r="B27" i="29"/>
  <c r="B26" i="29"/>
  <c r="B25" i="29"/>
  <c r="B14" i="29"/>
  <c r="B13" i="29"/>
  <c r="B12" i="29"/>
  <c r="E3" i="28"/>
  <c r="A14" i="25"/>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A115" i="25" s="1"/>
  <c r="A116" i="25" s="1"/>
  <c r="A117" i="25" s="1"/>
  <c r="A118" i="25" s="1"/>
  <c r="A119" i="25" s="1"/>
  <c r="A120" i="25" s="1"/>
  <c r="A121" i="25" s="1"/>
  <c r="A122" i="25" s="1"/>
  <c r="A123" i="25" s="1"/>
  <c r="A124" i="25" s="1"/>
  <c r="A125" i="25" s="1"/>
  <c r="A126" i="25" s="1"/>
  <c r="A127" i="25" s="1"/>
  <c r="A128" i="25" s="1"/>
  <c r="A129" i="25" s="1"/>
  <c r="A130" i="25" s="1"/>
  <c r="A131" i="25" s="1"/>
  <c r="A132" i="25" s="1"/>
  <c r="A133" i="25" s="1"/>
  <c r="A134" i="25" s="1"/>
  <c r="A135" i="25" s="1"/>
  <c r="A136" i="25" s="1"/>
  <c r="A137" i="25" s="1"/>
  <c r="A138" i="25" s="1"/>
  <c r="A139" i="25" s="1"/>
  <c r="A140" i="25" s="1"/>
  <c r="A141" i="25" s="1"/>
  <c r="A142" i="25" s="1"/>
  <c r="A143" i="25" s="1"/>
  <c r="A144" i="25" s="1"/>
  <c r="A145" i="25" s="1"/>
  <c r="A146" i="25" s="1"/>
  <c r="A147" i="25" s="1"/>
  <c r="A148" i="25" s="1"/>
  <c r="A149" i="25" s="1"/>
  <c r="A150" i="25" s="1"/>
  <c r="A151" i="25" s="1"/>
  <c r="A152" i="25" s="1"/>
  <c r="A153" i="25" s="1"/>
  <c r="A154" i="25" s="1"/>
  <c r="A155" i="25" s="1"/>
  <c r="A156" i="25" s="1"/>
  <c r="A157" i="25" s="1"/>
  <c r="A158" i="25" s="1"/>
  <c r="A159" i="25" s="1"/>
  <c r="A160" i="25" s="1"/>
  <c r="A161" i="25" s="1"/>
  <c r="A162" i="25" s="1"/>
  <c r="A163" i="25" s="1"/>
  <c r="A164" i="25" s="1"/>
  <c r="A165" i="25" s="1"/>
  <c r="A166" i="25" s="1"/>
  <c r="A167" i="25" s="1"/>
  <c r="A168" i="25" s="1"/>
  <c r="A169" i="25" s="1"/>
  <c r="A170" i="25" s="1"/>
  <c r="A171" i="25" s="1"/>
  <c r="A172" i="25" s="1"/>
  <c r="A173" i="25" s="1"/>
  <c r="A174" i="25" s="1"/>
  <c r="A175" i="25" s="1"/>
  <c r="A176" i="25" s="1"/>
  <c r="A177" i="25" s="1"/>
  <c r="A178" i="25" s="1"/>
  <c r="A179" i="25" s="1"/>
  <c r="A180" i="25" s="1"/>
  <c r="A181" i="25" s="1"/>
  <c r="A182" i="25" s="1"/>
  <c r="A183" i="25" s="1"/>
  <c r="A184" i="25" s="1"/>
  <c r="A185" i="25" s="1"/>
  <c r="A186" i="25" s="1"/>
  <c r="A187" i="25" s="1"/>
  <c r="A188" i="25" s="1"/>
  <c r="A189" i="25" s="1"/>
  <c r="A190" i="25" s="1"/>
  <c r="A191" i="25" s="1"/>
  <c r="A192" i="25" s="1"/>
  <c r="A193" i="25" s="1"/>
  <c r="A194" i="25" s="1"/>
  <c r="A195" i="25" s="1"/>
  <c r="A196" i="25" s="1"/>
  <c r="A197" i="25" s="1"/>
  <c r="A198" i="25" s="1"/>
  <c r="A199" i="25" s="1"/>
  <c r="A200" i="25" s="1"/>
  <c r="A201" i="25" s="1"/>
  <c r="A202" i="25" s="1"/>
  <c r="A203" i="25" s="1"/>
  <c r="A204" i="25" s="1"/>
  <c r="A205" i="25" s="1"/>
  <c r="A206" i="25" s="1"/>
  <c r="A207" i="25" s="1"/>
  <c r="A208" i="25" s="1"/>
  <c r="A209" i="25" s="1"/>
  <c r="A210" i="25" s="1"/>
  <c r="A211" i="25" s="1"/>
  <c r="A212" i="25" s="1"/>
  <c r="A213" i="25" s="1"/>
  <c r="A214" i="25" s="1"/>
  <c r="A215" i="25" s="1"/>
  <c r="A216" i="25" s="1"/>
  <c r="A217" i="25" s="1"/>
  <c r="A218" i="25" s="1"/>
  <c r="A219" i="25" s="1"/>
  <c r="A220" i="25" s="1"/>
  <c r="A221" i="25" s="1"/>
  <c r="A222" i="25" s="1"/>
  <c r="A223" i="25" s="1"/>
  <c r="A224" i="25" s="1"/>
  <c r="A225" i="25" s="1"/>
  <c r="A226" i="25" s="1"/>
  <c r="A227" i="25" s="1"/>
  <c r="A228" i="25" s="1"/>
  <c r="A229" i="25" s="1"/>
  <c r="A230" i="25" s="1"/>
  <c r="A231" i="25" s="1"/>
  <c r="A232" i="25" s="1"/>
  <c r="A233" i="25" s="1"/>
  <c r="A234" i="25" s="1"/>
  <c r="A235" i="25" s="1"/>
  <c r="A236" i="25" s="1"/>
  <c r="A237" i="25" s="1"/>
  <c r="A238" i="25" s="1"/>
  <c r="A239" i="25" s="1"/>
  <c r="A240" i="25" s="1"/>
  <c r="A241" i="25" s="1"/>
  <c r="A242" i="25" s="1"/>
  <c r="A243" i="25" s="1"/>
  <c r="A244" i="25" s="1"/>
  <c r="A245" i="25" s="1"/>
  <c r="A246" i="25" s="1"/>
  <c r="A247" i="25" s="1"/>
  <c r="A248" i="25" s="1"/>
  <c r="A249" i="25" s="1"/>
  <c r="A250" i="25" s="1"/>
  <c r="A251" i="25" s="1"/>
  <c r="A252" i="25" s="1"/>
  <c r="A253" i="25" s="1"/>
  <c r="A254" i="25" s="1"/>
  <c r="A255" i="25" s="1"/>
  <c r="A256" i="25" s="1"/>
  <c r="A257" i="25" s="1"/>
  <c r="A258" i="25" s="1"/>
  <c r="A259" i="25" s="1"/>
  <c r="A260" i="25" s="1"/>
  <c r="A261" i="25" s="1"/>
  <c r="A262" i="25" s="1"/>
  <c r="A263" i="25" s="1"/>
  <c r="A264" i="25" s="1"/>
  <c r="A265" i="25" s="1"/>
  <c r="A266" i="25" s="1"/>
  <c r="A267" i="25" s="1"/>
  <c r="A268" i="25" s="1"/>
  <c r="A269" i="25" s="1"/>
  <c r="A270" i="25" s="1"/>
  <c r="A271" i="25" s="1"/>
  <c r="A272" i="25" s="1"/>
  <c r="A273" i="25" s="1"/>
  <c r="A274" i="25" s="1"/>
  <c r="A275" i="25" s="1"/>
  <c r="A276" i="25" s="1"/>
  <c r="A277" i="25" s="1"/>
  <c r="A278" i="25" s="1"/>
  <c r="A279" i="25" s="1"/>
  <c r="A280" i="25" s="1"/>
  <c r="A281" i="25" s="1"/>
  <c r="A282" i="25" s="1"/>
  <c r="A283" i="25" s="1"/>
  <c r="A284" i="25" s="1"/>
  <c r="A285" i="25" s="1"/>
  <c r="A286" i="25" s="1"/>
  <c r="A287" i="25" s="1"/>
  <c r="A288" i="25" s="1"/>
  <c r="A289" i="25" s="1"/>
  <c r="A290" i="25" s="1"/>
  <c r="A291" i="25" s="1"/>
  <c r="A292" i="25" s="1"/>
  <c r="A293" i="25" s="1"/>
  <c r="A294" i="25" s="1"/>
  <c r="A295" i="25" s="1"/>
  <c r="A296" i="25" s="1"/>
  <c r="A297" i="25" s="1"/>
  <c r="A298" i="25" s="1"/>
  <c r="A299" i="25" s="1"/>
  <c r="A300" i="25" s="1"/>
  <c r="A301" i="25" s="1"/>
  <c r="A302" i="25" s="1"/>
  <c r="A303" i="25" s="1"/>
  <c r="A304" i="25" s="1"/>
  <c r="A305" i="25" s="1"/>
  <c r="A306" i="25" s="1"/>
  <c r="A307" i="25" s="1"/>
  <c r="A308" i="25" s="1"/>
  <c r="A309" i="25" s="1"/>
  <c r="A310" i="25" s="1"/>
  <c r="A311" i="25" s="1"/>
  <c r="A312" i="25" s="1"/>
  <c r="A313" i="25" s="1"/>
  <c r="A314" i="25" s="1"/>
  <c r="A315" i="25" s="1"/>
  <c r="A316" i="25" s="1"/>
  <c r="A317" i="25" s="1"/>
  <c r="A318" i="25" s="1"/>
  <c r="A319" i="25" s="1"/>
  <c r="A320" i="25" s="1"/>
  <c r="A321" i="25" s="1"/>
  <c r="A322" i="25" s="1"/>
  <c r="A323" i="25" s="1"/>
  <c r="A324" i="25" s="1"/>
  <c r="A325" i="25" s="1"/>
  <c r="A326" i="25" s="1"/>
  <c r="A327" i="25" s="1"/>
  <c r="A328" i="25" s="1"/>
  <c r="A329" i="25" s="1"/>
  <c r="A330" i="25" s="1"/>
  <c r="A331" i="25" s="1"/>
  <c r="A332" i="25" s="1"/>
  <c r="A333" i="25" s="1"/>
  <c r="A334" i="25" s="1"/>
  <c r="A335" i="25" s="1"/>
  <c r="A336" i="25" s="1"/>
  <c r="A337" i="25" s="1"/>
  <c r="A338" i="25" s="1"/>
  <c r="A339" i="25" s="1"/>
  <c r="A340" i="25" s="1"/>
  <c r="A341" i="25" s="1"/>
  <c r="A342" i="25" s="1"/>
  <c r="A343" i="25" s="1"/>
  <c r="A344" i="25" s="1"/>
  <c r="A345" i="25" s="1"/>
  <c r="A346" i="25" s="1"/>
  <c r="A347" i="25" s="1"/>
  <c r="A348" i="25" s="1"/>
  <c r="A349" i="25" s="1"/>
  <c r="A350" i="25" s="1"/>
  <c r="A351" i="25" s="1"/>
  <c r="A352" i="25" s="1"/>
  <c r="A353" i="25" s="1"/>
  <c r="A354" i="25" s="1"/>
  <c r="A355" i="25" s="1"/>
  <c r="A356" i="25" s="1"/>
  <c r="A357" i="25" s="1"/>
  <c r="A358" i="25" s="1"/>
  <c r="A359" i="25" s="1"/>
  <c r="A360" i="25" s="1"/>
  <c r="A361" i="25" s="1"/>
  <c r="A362" i="25" s="1"/>
  <c r="A363" i="25" s="1"/>
  <c r="A364" i="25" s="1"/>
  <c r="A365" i="25" s="1"/>
  <c r="A366" i="25" s="1"/>
  <c r="A367" i="25" s="1"/>
  <c r="A368" i="25" s="1"/>
  <c r="A369" i="25" s="1"/>
  <c r="A370" i="25" s="1"/>
  <c r="A371" i="25" s="1"/>
  <c r="A372" i="25" s="1"/>
  <c r="A373" i="25" s="1"/>
  <c r="A374" i="25" s="1"/>
  <c r="A375" i="25" s="1"/>
  <c r="A376" i="25" s="1"/>
  <c r="A377" i="25" s="1"/>
  <c r="A378" i="25" s="1"/>
  <c r="A379" i="25" s="1"/>
  <c r="A380" i="25" s="1"/>
  <c r="A381" i="25" s="1"/>
  <c r="A382" i="25" s="1"/>
  <c r="A383" i="25" s="1"/>
  <c r="A384" i="25" s="1"/>
  <c r="A385" i="25" s="1"/>
  <c r="A386" i="25" s="1"/>
  <c r="A387" i="25" s="1"/>
  <c r="A388" i="25" s="1"/>
  <c r="A389" i="25" s="1"/>
  <c r="A390" i="25" s="1"/>
  <c r="A391" i="25" s="1"/>
  <c r="A392" i="25" s="1"/>
  <c r="A393" i="25" s="1"/>
  <c r="A394" i="25" s="1"/>
  <c r="A395" i="25" s="1"/>
  <c r="A396" i="25" s="1"/>
  <c r="A397" i="25" s="1"/>
  <c r="A398" i="25" s="1"/>
  <c r="A399" i="25" s="1"/>
  <c r="A400" i="25" s="1"/>
  <c r="A401" i="25" s="1"/>
  <c r="A402" i="25" s="1"/>
  <c r="A403" i="25" s="1"/>
  <c r="A404" i="25" s="1"/>
  <c r="A405" i="25" s="1"/>
  <c r="A406" i="25" s="1"/>
  <c r="A407" i="25" s="1"/>
  <c r="A408" i="25" s="1"/>
  <c r="A409" i="25" s="1"/>
  <c r="A410" i="25" s="1"/>
  <c r="A411" i="25" s="1"/>
  <c r="A412" i="25" s="1"/>
  <c r="A413" i="25" s="1"/>
  <c r="A414" i="25" s="1"/>
  <c r="A415" i="25" s="1"/>
  <c r="A416" i="25" s="1"/>
  <c r="A417" i="25" s="1"/>
  <c r="A418" i="25" s="1"/>
  <c r="A419" i="25" s="1"/>
  <c r="A420" i="25" s="1"/>
  <c r="A421" i="25" s="1"/>
  <c r="A422" i="25" s="1"/>
  <c r="A423" i="25" s="1"/>
  <c r="A424" i="25" s="1"/>
  <c r="A425" i="25" s="1"/>
  <c r="A426" i="25" s="1"/>
  <c r="A427" i="25" s="1"/>
  <c r="A428" i="25" s="1"/>
  <c r="A429" i="25" s="1"/>
  <c r="A430" i="25" s="1"/>
  <c r="A431" i="25" s="1"/>
  <c r="A432" i="25" s="1"/>
  <c r="A433" i="25" s="1"/>
  <c r="A434" i="25" s="1"/>
  <c r="A435" i="25" s="1"/>
  <c r="A436" i="25" s="1"/>
  <c r="A437" i="25" s="1"/>
  <c r="A438" i="25" s="1"/>
  <c r="A439" i="25" s="1"/>
  <c r="A440" i="25" s="1"/>
  <c r="A441" i="25" s="1"/>
  <c r="A442" i="25" s="1"/>
  <c r="A443" i="25" s="1"/>
  <c r="A444" i="25" s="1"/>
  <c r="A445" i="25" s="1"/>
  <c r="A446" i="25" s="1"/>
  <c r="A447" i="25" s="1"/>
  <c r="A448" i="25" s="1"/>
  <c r="A449" i="25" s="1"/>
  <c r="A450" i="25" s="1"/>
  <c r="A451" i="25" s="1"/>
  <c r="A452" i="25" s="1"/>
  <c r="A453" i="25" s="1"/>
  <c r="A454" i="25" s="1"/>
  <c r="A455" i="25" s="1"/>
  <c r="A456" i="25" s="1"/>
  <c r="A457" i="25" s="1"/>
  <c r="A458" i="25" s="1"/>
  <c r="A459" i="25" s="1"/>
  <c r="A460" i="25" s="1"/>
  <c r="A461" i="25" s="1"/>
  <c r="A462" i="25" s="1"/>
  <c r="A463" i="25" s="1"/>
  <c r="A464" i="25" s="1"/>
  <c r="A465" i="25" s="1"/>
  <c r="A466" i="25" s="1"/>
  <c r="A467" i="25" s="1"/>
  <c r="A468" i="25" s="1"/>
  <c r="A469" i="25" s="1"/>
  <c r="A470" i="25" s="1"/>
  <c r="A471" i="25" s="1"/>
  <c r="A472" i="25" s="1"/>
  <c r="A473" i="25" s="1"/>
  <c r="A474" i="25" s="1"/>
  <c r="A475" i="25" s="1"/>
  <c r="A476" i="25" s="1"/>
  <c r="A477" i="25" s="1"/>
  <c r="A478" i="25" s="1"/>
  <c r="A479" i="25" s="1"/>
  <c r="A480" i="25" s="1"/>
  <c r="A481" i="25" s="1"/>
  <c r="A482" i="25" s="1"/>
  <c r="A483" i="25" s="1"/>
  <c r="A484" i="25" s="1"/>
  <c r="A485" i="25" s="1"/>
  <c r="A486" i="25" s="1"/>
  <c r="A487" i="25" s="1"/>
  <c r="A488" i="25" s="1"/>
  <c r="A489" i="25" s="1"/>
  <c r="A490" i="25" s="1"/>
  <c r="A491" i="25" s="1"/>
  <c r="A492" i="25" s="1"/>
  <c r="A493" i="25" s="1"/>
  <c r="A494" i="25" s="1"/>
  <c r="A495" i="25" s="1"/>
  <c r="A496" i="25" s="1"/>
  <c r="A497" i="25" s="1"/>
  <c r="A498" i="25" s="1"/>
  <c r="A499" i="25" s="1"/>
  <c r="A500" i="25" s="1"/>
  <c r="A501" i="25" s="1"/>
  <c r="A502" i="25" s="1"/>
  <c r="A503" i="25" s="1"/>
  <c r="A504" i="25" s="1"/>
  <c r="A505" i="25" s="1"/>
  <c r="A506" i="25" s="1"/>
  <c r="A507" i="25" s="1"/>
  <c r="A508" i="25" s="1"/>
  <c r="A509" i="25" s="1"/>
  <c r="A510" i="25" s="1"/>
  <c r="A511" i="25" s="1"/>
  <c r="A512" i="25" s="1"/>
  <c r="A513" i="25" s="1"/>
  <c r="A514" i="25" s="1"/>
  <c r="A515" i="25" s="1"/>
  <c r="A516" i="25" s="1"/>
  <c r="A517" i="25" s="1"/>
  <c r="A518" i="25" s="1"/>
  <c r="A519" i="25" s="1"/>
  <c r="A520" i="25" s="1"/>
  <c r="A521" i="25" s="1"/>
  <c r="A522" i="25" s="1"/>
  <c r="A523" i="25" s="1"/>
  <c r="A524" i="25" s="1"/>
  <c r="A525" i="25" s="1"/>
  <c r="A526" i="25" s="1"/>
  <c r="A527" i="25" s="1"/>
  <c r="A528" i="25" s="1"/>
  <c r="A529" i="25" s="1"/>
  <c r="A530" i="25" s="1"/>
  <c r="A531" i="25" s="1"/>
  <c r="A532" i="25" s="1"/>
  <c r="A533" i="25" s="1"/>
  <c r="A534" i="25" s="1"/>
  <c r="A535" i="25" s="1"/>
  <c r="A536" i="25" s="1"/>
  <c r="A537" i="25" s="1"/>
  <c r="A538" i="25" s="1"/>
  <c r="A539" i="25" s="1"/>
  <c r="A540" i="25" s="1"/>
  <c r="A541" i="25" s="1"/>
  <c r="A542" i="25" s="1"/>
  <c r="A543" i="25" s="1"/>
  <c r="A544" i="25" s="1"/>
  <c r="A545" i="25" s="1"/>
  <c r="A546" i="25" s="1"/>
  <c r="A547" i="25" s="1"/>
  <c r="A548" i="25" s="1"/>
  <c r="A549" i="25" s="1"/>
  <c r="A550" i="25" s="1"/>
  <c r="A551" i="25" s="1"/>
  <c r="A552" i="25" s="1"/>
  <c r="A553" i="25" s="1"/>
  <c r="A554" i="25" s="1"/>
  <c r="A555" i="25" s="1"/>
  <c r="A556" i="25" s="1"/>
  <c r="A557" i="25" s="1"/>
  <c r="A558" i="25" s="1"/>
  <c r="A559" i="25" s="1"/>
  <c r="A560" i="25" s="1"/>
  <c r="A561" i="25" s="1"/>
  <c r="A562" i="25" s="1"/>
  <c r="A563" i="25" s="1"/>
  <c r="A564" i="25" s="1"/>
  <c r="A565" i="25" s="1"/>
  <c r="A566" i="25" s="1"/>
  <c r="A567" i="25" s="1"/>
  <c r="A568" i="25" s="1"/>
  <c r="A569" i="25" s="1"/>
  <c r="A570" i="25" s="1"/>
  <c r="A571" i="25" s="1"/>
  <c r="A572" i="25" s="1"/>
  <c r="A573" i="25" s="1"/>
  <c r="A574" i="25" s="1"/>
  <c r="A575" i="25" s="1"/>
  <c r="A576" i="25" s="1"/>
  <c r="A577" i="25" s="1"/>
  <c r="A578" i="25" s="1"/>
  <c r="A579" i="25" s="1"/>
  <c r="A580" i="25" s="1"/>
  <c r="A581" i="25" s="1"/>
  <c r="A582" i="25" s="1"/>
  <c r="A583" i="25" s="1"/>
  <c r="A584" i="25" s="1"/>
  <c r="A585" i="25" s="1"/>
  <c r="A586" i="25" s="1"/>
  <c r="A587" i="25" s="1"/>
  <c r="A588" i="25" s="1"/>
  <c r="A589" i="25" s="1"/>
  <c r="A590" i="25" s="1"/>
  <c r="A591" i="25" s="1"/>
  <c r="A592" i="25" s="1"/>
  <c r="A593" i="25" s="1"/>
  <c r="A594" i="25" s="1"/>
  <c r="A595" i="25" s="1"/>
  <c r="A596" i="25" s="1"/>
  <c r="A597" i="25" s="1"/>
  <c r="A598" i="25" s="1"/>
  <c r="A599" i="25" s="1"/>
  <c r="A600" i="25" s="1"/>
  <c r="A601" i="25" s="1"/>
  <c r="A602" i="25" s="1"/>
  <c r="A603" i="25" s="1"/>
  <c r="A604" i="25" s="1"/>
  <c r="A605" i="25" s="1"/>
  <c r="A606" i="25" s="1"/>
  <c r="A607" i="25" s="1"/>
  <c r="A608" i="25" s="1"/>
  <c r="A609" i="25" s="1"/>
  <c r="A610" i="25" s="1"/>
  <c r="A611" i="25" s="1"/>
  <c r="A612" i="25" s="1"/>
  <c r="A613" i="25" s="1"/>
  <c r="A614" i="25" s="1"/>
  <c r="A615" i="25" s="1"/>
  <c r="A616" i="25" s="1"/>
  <c r="A617" i="25" s="1"/>
  <c r="A618" i="25" s="1"/>
  <c r="A619" i="25" s="1"/>
  <c r="A620" i="25" s="1"/>
  <c r="A621" i="25" s="1"/>
  <c r="A622" i="25" s="1"/>
  <c r="A623" i="25" s="1"/>
  <c r="A624" i="25" s="1"/>
  <c r="A625" i="25" s="1"/>
  <c r="A626" i="25" s="1"/>
  <c r="A627" i="25" s="1"/>
  <c r="A628" i="25" s="1"/>
  <c r="A629" i="25" s="1"/>
  <c r="A630" i="25" s="1"/>
  <c r="A631" i="25" s="1"/>
  <c r="A632" i="25" s="1"/>
  <c r="A633" i="25" s="1"/>
  <c r="A634" i="25" s="1"/>
  <c r="A635" i="25" s="1"/>
  <c r="A636" i="25" s="1"/>
  <c r="A637" i="25" s="1"/>
  <c r="A638" i="25" s="1"/>
  <c r="A639" i="25" s="1"/>
  <c r="A640" i="25" s="1"/>
  <c r="A641" i="25" s="1"/>
  <c r="A642" i="25" s="1"/>
  <c r="A643" i="25" s="1"/>
  <c r="A644" i="25" s="1"/>
  <c r="A645" i="25" s="1"/>
  <c r="A646" i="25" s="1"/>
  <c r="A647" i="25" s="1"/>
  <c r="A648" i="25" s="1"/>
  <c r="A649" i="25" s="1"/>
  <c r="A650" i="25" s="1"/>
  <c r="A651" i="25" s="1"/>
  <c r="A652" i="25" s="1"/>
  <c r="A653" i="25" s="1"/>
  <c r="A654" i="25" s="1"/>
  <c r="A655" i="25" s="1"/>
  <c r="A656" i="25" s="1"/>
  <c r="A657" i="25" s="1"/>
  <c r="A658" i="25" s="1"/>
  <c r="A659" i="25" s="1"/>
  <c r="A660" i="25" s="1"/>
  <c r="A661" i="25" s="1"/>
  <c r="A662" i="25" s="1"/>
  <c r="A663" i="25" s="1"/>
  <c r="A664" i="25" s="1"/>
  <c r="A665" i="25" s="1"/>
  <c r="A666" i="25" s="1"/>
  <c r="A667" i="25" s="1"/>
  <c r="A668" i="25" s="1"/>
  <c r="A669" i="25" s="1"/>
  <c r="A670" i="25" s="1"/>
  <c r="A671" i="25" s="1"/>
  <c r="A672" i="25" s="1"/>
  <c r="A673" i="25" s="1"/>
  <c r="A674" i="25" s="1"/>
  <c r="A675" i="25" s="1"/>
  <c r="A676" i="25" s="1"/>
  <c r="A677" i="25" s="1"/>
  <c r="A678" i="25" s="1"/>
  <c r="A679" i="25" s="1"/>
  <c r="A680" i="25" s="1"/>
  <c r="A681" i="25" s="1"/>
  <c r="A682" i="25" s="1"/>
  <c r="A683" i="25" s="1"/>
  <c r="A684" i="25" s="1"/>
  <c r="A685" i="25" s="1"/>
  <c r="A686" i="25" s="1"/>
  <c r="A687" i="25" s="1"/>
  <c r="A688" i="25" s="1"/>
  <c r="A689" i="25" s="1"/>
  <c r="A690" i="25" s="1"/>
  <c r="A691" i="25" s="1"/>
  <c r="A692" i="25" s="1"/>
  <c r="A693" i="25" s="1"/>
  <c r="A694" i="25" s="1"/>
  <c r="A695" i="25" s="1"/>
  <c r="A696" i="25" s="1"/>
  <c r="A697" i="25" s="1"/>
  <c r="A698" i="25" s="1"/>
  <c r="A699" i="25" s="1"/>
  <c r="A700" i="25" s="1"/>
  <c r="A701" i="25" s="1"/>
  <c r="A702" i="25" s="1"/>
  <c r="A703" i="25" s="1"/>
  <c r="A704" i="25" s="1"/>
  <c r="A705" i="25" s="1"/>
  <c r="A706" i="25" s="1"/>
  <c r="A707" i="25" s="1"/>
  <c r="A708" i="25" s="1"/>
  <c r="A709" i="25" s="1"/>
  <c r="A710" i="25" s="1"/>
  <c r="A711" i="25" s="1"/>
  <c r="A712" i="25" s="1"/>
  <c r="A713" i="25" s="1"/>
  <c r="A714" i="25" s="1"/>
  <c r="A715" i="25" s="1"/>
  <c r="A716" i="25" s="1"/>
  <c r="A717" i="25" s="1"/>
  <c r="A718" i="25" s="1"/>
  <c r="A719" i="25" s="1"/>
  <c r="A720" i="25" s="1"/>
  <c r="A721" i="25" s="1"/>
  <c r="A722" i="25" s="1"/>
  <c r="A723" i="25" s="1"/>
  <c r="A724" i="25" s="1"/>
  <c r="A725" i="25" s="1"/>
  <c r="A726" i="25" s="1"/>
  <c r="A727" i="25" s="1"/>
  <c r="A728" i="25" s="1"/>
  <c r="A729" i="25" s="1"/>
  <c r="A730" i="25" s="1"/>
  <c r="A731" i="25" s="1"/>
  <c r="A732" i="25" s="1"/>
  <c r="A733" i="25" s="1"/>
  <c r="A734" i="25" s="1"/>
  <c r="A735" i="25" s="1"/>
  <c r="A736" i="25" s="1"/>
  <c r="A737" i="25" s="1"/>
  <c r="A738" i="25" s="1"/>
  <c r="A739" i="25" s="1"/>
  <c r="A740" i="25" s="1"/>
  <c r="A741" i="25" s="1"/>
  <c r="A742" i="25" s="1"/>
  <c r="A743" i="25" s="1"/>
  <c r="A744" i="25" s="1"/>
  <c r="A745" i="25" s="1"/>
  <c r="A746" i="25" s="1"/>
  <c r="A747" i="25" s="1"/>
  <c r="A748" i="25" s="1"/>
  <c r="A749" i="25" s="1"/>
  <c r="A750" i="25" s="1"/>
  <c r="A751" i="25" s="1"/>
  <c r="A752" i="25" s="1"/>
  <c r="A753" i="25" s="1"/>
  <c r="A754" i="25" s="1"/>
  <c r="A755" i="25" s="1"/>
  <c r="A756" i="25" s="1"/>
  <c r="A757" i="25" s="1"/>
  <c r="A758" i="25" s="1"/>
  <c r="A759" i="25" s="1"/>
  <c r="A760" i="25" s="1"/>
  <c r="A761" i="25" s="1"/>
  <c r="A762" i="25" s="1"/>
  <c r="A763" i="25" s="1"/>
  <c r="A764" i="25" s="1"/>
  <c r="A765" i="25" s="1"/>
  <c r="A766" i="25" s="1"/>
  <c r="A767" i="25" s="1"/>
  <c r="A768" i="25" s="1"/>
  <c r="A769" i="25" s="1"/>
  <c r="A770" i="25" s="1"/>
  <c r="A771" i="25" s="1"/>
  <c r="A772" i="25" s="1"/>
  <c r="A773" i="25" s="1"/>
  <c r="A774" i="25" s="1"/>
  <c r="A775" i="25" s="1"/>
  <c r="A776" i="25" s="1"/>
  <c r="A777" i="25" s="1"/>
  <c r="A778" i="25" s="1"/>
  <c r="A779" i="25" s="1"/>
  <c r="A780" i="25" s="1"/>
  <c r="A781" i="25" s="1"/>
  <c r="A782" i="25" s="1"/>
  <c r="A783" i="25" s="1"/>
  <c r="A784" i="25" s="1"/>
  <c r="A785" i="25" s="1"/>
  <c r="A786" i="25" s="1"/>
  <c r="A787" i="25" s="1"/>
  <c r="A788" i="25" s="1"/>
  <c r="A789" i="25" s="1"/>
  <c r="A790" i="25" s="1"/>
  <c r="A791" i="25" s="1"/>
  <c r="A792" i="25" s="1"/>
  <c r="A793" i="25" s="1"/>
  <c r="A794" i="25" s="1"/>
  <c r="A795" i="25" s="1"/>
  <c r="A796" i="25" s="1"/>
  <c r="A797" i="25" s="1"/>
  <c r="A798" i="25" s="1"/>
  <c r="A799" i="25" s="1"/>
  <c r="A800" i="25" s="1"/>
  <c r="A801" i="25" s="1"/>
  <c r="A802" i="25" s="1"/>
  <c r="A803" i="25" s="1"/>
  <c r="A804" i="25" s="1"/>
  <c r="A805" i="25" s="1"/>
  <c r="A806" i="25" s="1"/>
  <c r="A807" i="25" s="1"/>
  <c r="A808" i="25" s="1"/>
  <c r="A809" i="25" s="1"/>
  <c r="A810" i="25" s="1"/>
  <c r="A811" i="25" s="1"/>
  <c r="A812" i="25" s="1"/>
  <c r="A813" i="25" s="1"/>
  <c r="A814" i="25" s="1"/>
  <c r="A815" i="25" s="1"/>
  <c r="A816" i="25" s="1"/>
  <c r="A817" i="25" s="1"/>
  <c r="A818" i="25" s="1"/>
  <c r="A819" i="25" s="1"/>
  <c r="A820" i="25" s="1"/>
  <c r="A821" i="25" s="1"/>
  <c r="A822" i="25" s="1"/>
  <c r="A823" i="25" s="1"/>
  <c r="A824" i="25" s="1"/>
  <c r="A825" i="25" s="1"/>
  <c r="A826" i="25" s="1"/>
  <c r="A827" i="25" s="1"/>
  <c r="A828" i="25" s="1"/>
  <c r="A829" i="25" s="1"/>
  <c r="A830" i="25" s="1"/>
  <c r="A831" i="25" s="1"/>
  <c r="A832" i="25" s="1"/>
  <c r="A833" i="25" s="1"/>
  <c r="A834" i="25" s="1"/>
  <c r="A835" i="25" s="1"/>
  <c r="A836" i="25" s="1"/>
  <c r="A837" i="25" s="1"/>
  <c r="A838" i="25" s="1"/>
  <c r="A839" i="25" s="1"/>
  <c r="A840" i="25" s="1"/>
  <c r="A841" i="25" s="1"/>
  <c r="A842" i="25" s="1"/>
  <c r="A843" i="25" s="1"/>
  <c r="A844" i="25" s="1"/>
  <c r="A845" i="25" s="1"/>
  <c r="A846" i="25" s="1"/>
  <c r="A847" i="25" s="1"/>
  <c r="A848" i="25" s="1"/>
  <c r="A849" i="25" s="1"/>
  <c r="A850" i="25" s="1"/>
  <c r="A851" i="25" s="1"/>
  <c r="A852" i="25" s="1"/>
  <c r="A853" i="25" s="1"/>
  <c r="A854" i="25" s="1"/>
  <c r="A855" i="25" s="1"/>
  <c r="A856" i="25" s="1"/>
  <c r="A857" i="25" s="1"/>
  <c r="A858" i="25" s="1"/>
  <c r="A859" i="25" s="1"/>
  <c r="A860" i="25" s="1"/>
  <c r="A861" i="25" s="1"/>
  <c r="A862" i="25" s="1"/>
  <c r="A863" i="25" s="1"/>
  <c r="A864" i="25" s="1"/>
  <c r="A865" i="25" s="1"/>
  <c r="A866" i="25" s="1"/>
  <c r="A867" i="25" s="1"/>
  <c r="A868" i="25" s="1"/>
  <c r="A869" i="25" s="1"/>
  <c r="A870" i="25" s="1"/>
  <c r="A871" i="25" s="1"/>
  <c r="A872" i="25" s="1"/>
  <c r="A873" i="25" s="1"/>
  <c r="A874" i="25" s="1"/>
  <c r="A875" i="25" s="1"/>
  <c r="A876" i="25" s="1"/>
  <c r="A877" i="25" s="1"/>
  <c r="A878" i="25" s="1"/>
  <c r="A879" i="25" s="1"/>
  <c r="A880" i="25" s="1"/>
  <c r="A881" i="25" s="1"/>
  <c r="A882" i="25" s="1"/>
  <c r="A883" i="25" s="1"/>
  <c r="A884" i="25" s="1"/>
  <c r="A885" i="25" s="1"/>
  <c r="A886" i="25" s="1"/>
  <c r="A887" i="25" s="1"/>
  <c r="A888" i="25" s="1"/>
  <c r="A889" i="25" s="1"/>
  <c r="A890" i="25" s="1"/>
  <c r="A891" i="25" s="1"/>
  <c r="A892" i="25" s="1"/>
  <c r="A893" i="25" s="1"/>
  <c r="A894" i="25" s="1"/>
  <c r="A895" i="25" s="1"/>
  <c r="A896" i="25" s="1"/>
  <c r="A897" i="25" s="1"/>
  <c r="A898" i="25" s="1"/>
  <c r="A899" i="25" s="1"/>
  <c r="A900" i="25" s="1"/>
  <c r="A901" i="25" s="1"/>
  <c r="A902" i="25" s="1"/>
  <c r="A903" i="25" s="1"/>
  <c r="A904" i="25" s="1"/>
  <c r="A905" i="25" s="1"/>
  <c r="A906" i="25" s="1"/>
  <c r="A907" i="25" s="1"/>
  <c r="A908" i="25" s="1"/>
  <c r="A909" i="25" s="1"/>
  <c r="A910" i="25" s="1"/>
  <c r="A911" i="25" s="1"/>
  <c r="A912" i="25" s="1"/>
  <c r="A913" i="25" s="1"/>
  <c r="O42" i="34" l="1"/>
  <c r="D42" i="34"/>
  <c r="B42" i="34"/>
  <c r="C42" i="34"/>
  <c r="F42" i="34"/>
  <c r="I42" i="34"/>
  <c r="K42" i="34" s="1"/>
  <c r="G41" i="34"/>
  <c r="H41" i="34" s="1"/>
  <c r="M41" i="34" s="1"/>
  <c r="J42" i="28"/>
  <c r="J43" i="28" s="1"/>
  <c r="D24" i="33" s="1"/>
  <c r="I28" i="33" s="1"/>
  <c r="D42" i="28"/>
  <c r="D43" i="28" s="1"/>
  <c r="N37" i="28"/>
  <c r="N41" i="28" s="1"/>
  <c r="E41" i="34"/>
  <c r="G59" i="28"/>
  <c r="A43" i="34"/>
  <c r="I26" i="28"/>
  <c r="C26" i="28"/>
  <c r="I22" i="28"/>
  <c r="I24" i="28" s="1"/>
  <c r="C22" i="28"/>
  <c r="A59" i="28"/>
  <c r="O43" i="34" l="1"/>
  <c r="D43" i="34"/>
  <c r="C43" i="34"/>
  <c r="B43" i="34"/>
  <c r="I43" i="34"/>
  <c r="K43" i="34" s="1"/>
  <c r="F43" i="34"/>
  <c r="G42" i="34"/>
  <c r="H42" i="34" s="1"/>
  <c r="M42" i="34" s="1"/>
  <c r="N39" i="28"/>
  <c r="G60" i="28"/>
  <c r="U37" i="28"/>
  <c r="U39" i="28"/>
  <c r="U41" i="28"/>
  <c r="U43" i="28"/>
  <c r="U45" i="28"/>
  <c r="U47" i="28"/>
  <c r="U49" i="28"/>
  <c r="U51" i="28"/>
  <c r="U53" i="28"/>
  <c r="U55" i="28"/>
  <c r="U57" i="28"/>
  <c r="U59" i="28"/>
  <c r="U61" i="28"/>
  <c r="U35" i="28"/>
  <c r="U36" i="28"/>
  <c r="U38" i="28"/>
  <c r="U40" i="28"/>
  <c r="U42" i="28"/>
  <c r="U44" i="28"/>
  <c r="U46" i="28"/>
  <c r="U48" i="28"/>
  <c r="U50" i="28"/>
  <c r="U52" i="28"/>
  <c r="U54" i="28"/>
  <c r="U56" i="28"/>
  <c r="U58" i="28"/>
  <c r="U60" i="28"/>
  <c r="U62" i="28"/>
  <c r="A44" i="34"/>
  <c r="E42" i="34"/>
  <c r="E22" i="30"/>
  <c r="C24" i="28"/>
  <c r="I59" i="28"/>
  <c r="I58" i="28"/>
  <c r="H48" i="28"/>
  <c r="H49" i="28" s="1"/>
  <c r="H50" i="28" s="1"/>
  <c r="A60" i="28"/>
  <c r="C59" i="28" l="1"/>
  <c r="A8" i="30"/>
  <c r="A9" i="30"/>
  <c r="O44" i="34"/>
  <c r="D44" i="34"/>
  <c r="B44" i="34"/>
  <c r="C44" i="34"/>
  <c r="F44" i="34"/>
  <c r="I44" i="34"/>
  <c r="K44" i="34" s="1"/>
  <c r="G43" i="34"/>
  <c r="H43" i="34" s="1"/>
  <c r="M43" i="34" s="1"/>
  <c r="J57" i="28"/>
  <c r="I60" i="28"/>
  <c r="J58" i="28"/>
  <c r="C58" i="28"/>
  <c r="J60" i="28"/>
  <c r="J59" i="28"/>
  <c r="G61" i="28"/>
  <c r="E43" i="34"/>
  <c r="A45" i="34"/>
  <c r="B48" i="28"/>
  <c r="B49" i="28" s="1"/>
  <c r="B50" i="28" s="1"/>
  <c r="B58" i="28" s="1"/>
  <c r="K9" i="25"/>
  <c r="C22" i="30"/>
  <c r="H60" i="28"/>
  <c r="H58" i="28"/>
  <c r="H59" i="28"/>
  <c r="A61" i="28"/>
  <c r="C60" i="28"/>
  <c r="O45" i="34" l="1"/>
  <c r="D45" i="34"/>
  <c r="C45" i="34"/>
  <c r="B45" i="34"/>
  <c r="I45" i="34"/>
  <c r="K45" i="34" s="1"/>
  <c r="F45" i="34"/>
  <c r="G44" i="34"/>
  <c r="H44" i="34" s="1"/>
  <c r="M44" i="34" s="1"/>
  <c r="J61" i="28"/>
  <c r="H61" i="28"/>
  <c r="G62" i="28"/>
  <c r="I61" i="28"/>
  <c r="T39" i="28"/>
  <c r="T43" i="28"/>
  <c r="T47" i="28"/>
  <c r="T51" i="28"/>
  <c r="T55" i="28"/>
  <c r="T59" i="28"/>
  <c r="T35" i="28"/>
  <c r="T36" i="28"/>
  <c r="T40" i="28"/>
  <c r="T44" i="28"/>
  <c r="T48" i="28"/>
  <c r="T52" i="28"/>
  <c r="T56" i="28"/>
  <c r="T60" i="28"/>
  <c r="T37" i="28"/>
  <c r="T41" i="28"/>
  <c r="T45" i="28"/>
  <c r="T49" i="28"/>
  <c r="T53" i="28"/>
  <c r="T57" i="28"/>
  <c r="T61" i="28"/>
  <c r="T38" i="28"/>
  <c r="T42" i="28"/>
  <c r="T46" i="28"/>
  <c r="T50" i="28"/>
  <c r="T54" i="28"/>
  <c r="T58" i="28"/>
  <c r="T62" i="28"/>
  <c r="B59" i="28"/>
  <c r="A46" i="34"/>
  <c r="E44" i="34"/>
  <c r="B61" i="28"/>
  <c r="B60" i="28"/>
  <c r="A62" i="28"/>
  <c r="C61" i="28"/>
  <c r="O46" i="34" l="1"/>
  <c r="D46" i="34"/>
  <c r="B46" i="34"/>
  <c r="C46" i="34"/>
  <c r="I46" i="34"/>
  <c r="K46" i="34" s="1"/>
  <c r="F46" i="34"/>
  <c r="G45" i="34"/>
  <c r="H45" i="34" s="1"/>
  <c r="M45" i="34" s="1"/>
  <c r="J62" i="28"/>
  <c r="D60" i="28"/>
  <c r="D58" i="28"/>
  <c r="D57" i="28"/>
  <c r="D61" i="28"/>
  <c r="D62" i="28"/>
  <c r="D59" i="28"/>
  <c r="G63" i="28"/>
  <c r="I62" i="28"/>
  <c r="H62" i="28"/>
  <c r="B62" i="28"/>
  <c r="E45" i="34"/>
  <c r="A47" i="34"/>
  <c r="A63" i="28"/>
  <c r="C62" i="28"/>
  <c r="O47" i="34" l="1"/>
  <c r="D47" i="34"/>
  <c r="C47" i="34"/>
  <c r="B47" i="34"/>
  <c r="I47" i="34"/>
  <c r="K47" i="34" s="1"/>
  <c r="F47" i="34"/>
  <c r="G46" i="34"/>
  <c r="H46" i="34" s="1"/>
  <c r="M46" i="34" s="1"/>
  <c r="J63" i="28"/>
  <c r="D63" i="28"/>
  <c r="G64" i="28"/>
  <c r="I63" i="28"/>
  <c r="H63" i="28"/>
  <c r="B63" i="28"/>
  <c r="A48" i="34"/>
  <c r="E46" i="34"/>
  <c r="A64" i="28"/>
  <c r="C63" i="28"/>
  <c r="O48" i="34" l="1"/>
  <c r="D48" i="34"/>
  <c r="B48" i="34"/>
  <c r="C48" i="34"/>
  <c r="I48" i="34"/>
  <c r="K48" i="34" s="1"/>
  <c r="F48" i="34"/>
  <c r="G47" i="34"/>
  <c r="H47" i="34" s="1"/>
  <c r="M47" i="34" s="1"/>
  <c r="J64" i="28"/>
  <c r="D64" i="28"/>
  <c r="G65" i="28"/>
  <c r="I64" i="28"/>
  <c r="H64" i="28"/>
  <c r="B64" i="28"/>
  <c r="E47" i="34"/>
  <c r="A49" i="34"/>
  <c r="A65" i="28"/>
  <c r="C64" i="28"/>
  <c r="O49" i="34" l="1"/>
  <c r="D49" i="34"/>
  <c r="C49" i="34"/>
  <c r="B49" i="34"/>
  <c r="I49" i="34"/>
  <c r="K49" i="34" s="1"/>
  <c r="F49" i="34"/>
  <c r="G48" i="34"/>
  <c r="H48" i="34" s="1"/>
  <c r="M48" i="34" s="1"/>
  <c r="D65" i="28"/>
  <c r="J65" i="28"/>
  <c r="G66" i="28"/>
  <c r="I65" i="28"/>
  <c r="H65" i="28"/>
  <c r="B65" i="28"/>
  <c r="A50" i="34"/>
  <c r="E48" i="34"/>
  <c r="A66" i="28"/>
  <c r="C65" i="28"/>
  <c r="O50" i="34" l="1"/>
  <c r="D50" i="34"/>
  <c r="B50" i="34"/>
  <c r="C50" i="34"/>
  <c r="I50" i="34"/>
  <c r="K50" i="34" s="1"/>
  <c r="F50" i="34"/>
  <c r="G49" i="34"/>
  <c r="H49" i="34" s="1"/>
  <c r="M49" i="34" s="1"/>
  <c r="J66" i="28"/>
  <c r="D66" i="28"/>
  <c r="G67" i="28"/>
  <c r="I66" i="28"/>
  <c r="H66" i="28"/>
  <c r="B66" i="28"/>
  <c r="E49" i="34"/>
  <c r="A51" i="34"/>
  <c r="A67" i="28"/>
  <c r="C66" i="28"/>
  <c r="O51" i="34" l="1"/>
  <c r="D51" i="34"/>
  <c r="C51" i="34"/>
  <c r="B51" i="34"/>
  <c r="I51" i="34"/>
  <c r="K51" i="34" s="1"/>
  <c r="F51" i="34"/>
  <c r="G50" i="34"/>
  <c r="H50" i="34" s="1"/>
  <c r="M50" i="34" s="1"/>
  <c r="D67" i="28"/>
  <c r="J67" i="28"/>
  <c r="G68" i="28"/>
  <c r="I67" i="28"/>
  <c r="H67" i="28"/>
  <c r="B67" i="28"/>
  <c r="A52" i="34"/>
  <c r="E50" i="34"/>
  <c r="C67" i="28"/>
  <c r="A68" i="28"/>
  <c r="O52" i="34" l="1"/>
  <c r="D52" i="34"/>
  <c r="B52" i="34"/>
  <c r="C52" i="34"/>
  <c r="F52" i="34"/>
  <c r="I52" i="34"/>
  <c r="K52" i="34" s="1"/>
  <c r="G51" i="34"/>
  <c r="H51" i="34" s="1"/>
  <c r="M51" i="34" s="1"/>
  <c r="D68" i="28"/>
  <c r="J68" i="28"/>
  <c r="G69" i="28"/>
  <c r="I68" i="28"/>
  <c r="H68" i="28"/>
  <c r="B68" i="28"/>
  <c r="E51" i="34"/>
  <c r="A53" i="34"/>
  <c r="A69" i="28"/>
  <c r="C68" i="28"/>
  <c r="O53" i="34" l="1"/>
  <c r="D53" i="34"/>
  <c r="C53" i="34"/>
  <c r="B53" i="34"/>
  <c r="I53" i="34"/>
  <c r="K53" i="34" s="1"/>
  <c r="F53" i="34"/>
  <c r="G52" i="34"/>
  <c r="H52" i="34" s="1"/>
  <c r="M52" i="34" s="1"/>
  <c r="D69" i="28"/>
  <c r="J69" i="28"/>
  <c r="G70" i="28"/>
  <c r="I69" i="28"/>
  <c r="H69" i="28"/>
  <c r="B69" i="28"/>
  <c r="A54" i="34"/>
  <c r="E52" i="34"/>
  <c r="A70" i="28"/>
  <c r="C69" i="28"/>
  <c r="O54" i="34" l="1"/>
  <c r="D54" i="34"/>
  <c r="B54" i="34"/>
  <c r="C54" i="34"/>
  <c r="F54" i="34"/>
  <c r="I54" i="34"/>
  <c r="K54" i="34" s="1"/>
  <c r="G53" i="34"/>
  <c r="H53" i="34" s="1"/>
  <c r="M53" i="34" s="1"/>
  <c r="D70" i="28"/>
  <c r="J70" i="28"/>
  <c r="G71" i="28"/>
  <c r="I70" i="28"/>
  <c r="H70" i="28"/>
  <c r="B70" i="28"/>
  <c r="E53" i="34"/>
  <c r="A55" i="34"/>
  <c r="C70" i="28"/>
  <c r="A71" i="28"/>
  <c r="O55" i="34" l="1"/>
  <c r="D55" i="34"/>
  <c r="C55" i="34"/>
  <c r="B55" i="34"/>
  <c r="I55" i="34"/>
  <c r="K55" i="34" s="1"/>
  <c r="F55" i="34"/>
  <c r="G54" i="34"/>
  <c r="H54" i="34" s="1"/>
  <c r="M54" i="34" s="1"/>
  <c r="D71" i="28"/>
  <c r="J71" i="28"/>
  <c r="G72" i="28"/>
  <c r="I71" i="28"/>
  <c r="H71" i="28"/>
  <c r="B71" i="28"/>
  <c r="A56" i="34"/>
  <c r="E54" i="34"/>
  <c r="C71" i="28"/>
  <c r="A72" i="28"/>
  <c r="O56" i="34" l="1"/>
  <c r="D56" i="34"/>
  <c r="B56" i="34"/>
  <c r="C56" i="34"/>
  <c r="I56" i="34"/>
  <c r="K56" i="34" s="1"/>
  <c r="F56" i="34"/>
  <c r="G55" i="34"/>
  <c r="H55" i="34" s="1"/>
  <c r="M55" i="34" s="1"/>
  <c r="D72" i="28"/>
  <c r="J72" i="28"/>
  <c r="G73" i="28"/>
  <c r="I72" i="28"/>
  <c r="H72" i="28"/>
  <c r="B72" i="28"/>
  <c r="E55" i="34"/>
  <c r="A57" i="34"/>
  <c r="A73" i="28"/>
  <c r="C72" i="28"/>
  <c r="O57" i="34" l="1"/>
  <c r="D57" i="34"/>
  <c r="C57" i="34"/>
  <c r="B57" i="34"/>
  <c r="I57" i="34"/>
  <c r="K57" i="34" s="1"/>
  <c r="F57" i="34"/>
  <c r="G56" i="34"/>
  <c r="H56" i="34" s="1"/>
  <c r="M56" i="34" s="1"/>
  <c r="D73" i="28"/>
  <c r="J73" i="28"/>
  <c r="G74" i="28"/>
  <c r="I73" i="28"/>
  <c r="H73" i="28"/>
  <c r="B73" i="28"/>
  <c r="A58" i="34"/>
  <c r="E56" i="34"/>
  <c r="A74" i="28"/>
  <c r="C73" i="28"/>
  <c r="O58" i="34" l="1"/>
  <c r="D58" i="34"/>
  <c r="B58" i="34"/>
  <c r="C58" i="34"/>
  <c r="I58" i="34"/>
  <c r="K58" i="34" s="1"/>
  <c r="F58" i="34"/>
  <c r="G57" i="34"/>
  <c r="H57" i="34" s="1"/>
  <c r="M57" i="34" s="1"/>
  <c r="D74" i="28"/>
  <c r="J74" i="28"/>
  <c r="G75" i="28"/>
  <c r="I74" i="28"/>
  <c r="H74" i="28"/>
  <c r="B74" i="28"/>
  <c r="E57" i="34"/>
  <c r="A59" i="34"/>
  <c r="A75" i="28"/>
  <c r="C74" i="28"/>
  <c r="O59" i="34" l="1"/>
  <c r="D59" i="34"/>
  <c r="C59" i="34"/>
  <c r="B59" i="34"/>
  <c r="I59" i="34"/>
  <c r="K59" i="34" s="1"/>
  <c r="F59" i="34"/>
  <c r="G58" i="34"/>
  <c r="H58" i="34" s="1"/>
  <c r="M58" i="34" s="1"/>
  <c r="D75" i="28"/>
  <c r="J75" i="28"/>
  <c r="G76" i="28"/>
  <c r="I75" i="28"/>
  <c r="H75" i="28"/>
  <c r="B75" i="28"/>
  <c r="A60" i="34"/>
  <c r="E58" i="34"/>
  <c r="A76" i="28"/>
  <c r="C75" i="28"/>
  <c r="O60" i="34" l="1"/>
  <c r="D60" i="34"/>
  <c r="B60" i="34"/>
  <c r="C60" i="34"/>
  <c r="F60" i="34"/>
  <c r="I60" i="34"/>
  <c r="K60" i="34" s="1"/>
  <c r="G59" i="34"/>
  <c r="H59" i="34" s="1"/>
  <c r="M59" i="34" s="1"/>
  <c r="D76" i="28"/>
  <c r="J76" i="28"/>
  <c r="E59" i="34"/>
  <c r="G77" i="28"/>
  <c r="I76" i="28"/>
  <c r="H76" i="28"/>
  <c r="B76" i="28"/>
  <c r="A61" i="34"/>
  <c r="A77" i="28"/>
  <c r="C76" i="28"/>
  <c r="O61" i="34" l="1"/>
  <c r="D61" i="34"/>
  <c r="C61" i="34"/>
  <c r="B61" i="34"/>
  <c r="I61" i="34"/>
  <c r="K61" i="34" s="1"/>
  <c r="F61" i="34"/>
  <c r="G60" i="34"/>
  <c r="H60" i="34" s="1"/>
  <c r="M60" i="34" s="1"/>
  <c r="J77" i="28"/>
  <c r="D77" i="28"/>
  <c r="G78" i="28"/>
  <c r="I77" i="28"/>
  <c r="H77" i="28"/>
  <c r="B77" i="28"/>
  <c r="A62" i="34"/>
  <c r="E60" i="34"/>
  <c r="A78" i="28"/>
  <c r="C77" i="28"/>
  <c r="O62" i="34" l="1"/>
  <c r="D62" i="34"/>
  <c r="B62" i="34"/>
  <c r="C62" i="34"/>
  <c r="F62" i="34"/>
  <c r="I62" i="34"/>
  <c r="K62" i="34" s="1"/>
  <c r="G61" i="34"/>
  <c r="H61" i="34" s="1"/>
  <c r="M61" i="34" s="1"/>
  <c r="D78" i="28"/>
  <c r="J78" i="28"/>
  <c r="E61" i="34"/>
  <c r="G79" i="28"/>
  <c r="I78" i="28"/>
  <c r="H78" i="28"/>
  <c r="B78" i="28"/>
  <c r="A63" i="34"/>
  <c r="A79" i="28"/>
  <c r="C78" i="28"/>
  <c r="O63" i="34" l="1"/>
  <c r="D63" i="34"/>
  <c r="C63" i="34"/>
  <c r="B63" i="34"/>
  <c r="I63" i="34"/>
  <c r="K63" i="34" s="1"/>
  <c r="F63" i="34"/>
  <c r="G62" i="34"/>
  <c r="H62" i="34" s="1"/>
  <c r="M62" i="34" s="1"/>
  <c r="D79" i="28"/>
  <c r="J79" i="28"/>
  <c r="E62" i="34"/>
  <c r="G80" i="28"/>
  <c r="I79" i="28"/>
  <c r="H79" i="28"/>
  <c r="A64" i="34"/>
  <c r="A80" i="28"/>
  <c r="B79" i="28"/>
  <c r="C79" i="28"/>
  <c r="O64" i="34" l="1"/>
  <c r="D64" i="34"/>
  <c r="B64" i="34"/>
  <c r="C64" i="34"/>
  <c r="I64" i="34"/>
  <c r="K64" i="34" s="1"/>
  <c r="F64" i="34"/>
  <c r="G63" i="34"/>
  <c r="H63" i="34" s="1"/>
  <c r="M63" i="34" s="1"/>
  <c r="J80" i="28"/>
  <c r="D80" i="28"/>
  <c r="G81" i="28"/>
  <c r="I80" i="28"/>
  <c r="H80" i="28"/>
  <c r="B80" i="28"/>
  <c r="C80" i="28"/>
  <c r="A65" i="34"/>
  <c r="E63" i="34"/>
  <c r="A81" i="28"/>
  <c r="O65" i="34" l="1"/>
  <c r="D65" i="34"/>
  <c r="C65" i="34"/>
  <c r="B65" i="34"/>
  <c r="I65" i="34"/>
  <c r="K65" i="34" s="1"/>
  <c r="F65" i="34"/>
  <c r="G64" i="34"/>
  <c r="H64" i="34" s="1"/>
  <c r="M64" i="34" s="1"/>
  <c r="D81" i="28"/>
  <c r="J81" i="28"/>
  <c r="E64" i="34"/>
  <c r="G82" i="28"/>
  <c r="I81" i="28"/>
  <c r="H81" i="28"/>
  <c r="B81" i="28"/>
  <c r="A66" i="34"/>
  <c r="A82" i="28"/>
  <c r="C81" i="28"/>
  <c r="O66" i="34" l="1"/>
  <c r="D66" i="34"/>
  <c r="B66" i="34"/>
  <c r="C66" i="34"/>
  <c r="I66" i="34"/>
  <c r="K66" i="34" s="1"/>
  <c r="F66" i="34"/>
  <c r="G65" i="34"/>
  <c r="H65" i="34" s="1"/>
  <c r="M65" i="34" s="1"/>
  <c r="D82" i="28"/>
  <c r="H82" i="28"/>
  <c r="J82" i="28"/>
  <c r="E65" i="34"/>
  <c r="G83" i="28"/>
  <c r="I82" i="28"/>
  <c r="B82" i="28"/>
  <c r="A67" i="34"/>
  <c r="C82" i="28"/>
  <c r="A83" i="28"/>
  <c r="O67" i="34" l="1"/>
  <c r="D67" i="34"/>
  <c r="C67" i="34"/>
  <c r="B67" i="34"/>
  <c r="I67" i="34"/>
  <c r="K67" i="34" s="1"/>
  <c r="F67" i="34"/>
  <c r="G66" i="34"/>
  <c r="H66" i="34" s="1"/>
  <c r="M66" i="34" s="1"/>
  <c r="J83" i="28"/>
  <c r="D83" i="28"/>
  <c r="G84" i="28"/>
  <c r="I83" i="28"/>
  <c r="H83" i="28"/>
  <c r="B83" i="28"/>
  <c r="A68" i="34"/>
  <c r="E66" i="34"/>
  <c r="A84" i="28"/>
  <c r="C83" i="28"/>
  <c r="O68" i="34" l="1"/>
  <c r="D68" i="34"/>
  <c r="B68" i="34"/>
  <c r="C68" i="34"/>
  <c r="F68" i="34"/>
  <c r="I68" i="34"/>
  <c r="K68" i="34" s="1"/>
  <c r="G67" i="34"/>
  <c r="H67" i="34" s="1"/>
  <c r="M67" i="34" s="1"/>
  <c r="J84" i="28"/>
  <c r="D84" i="28"/>
  <c r="E67" i="34"/>
  <c r="G85" i="28"/>
  <c r="I84" i="28"/>
  <c r="H84" i="28"/>
  <c r="B84" i="28"/>
  <c r="A69" i="34"/>
  <c r="A85" i="28"/>
  <c r="C84" i="28"/>
  <c r="O69" i="34" l="1"/>
  <c r="D69" i="34"/>
  <c r="C69" i="34"/>
  <c r="B69" i="34"/>
  <c r="I69" i="34"/>
  <c r="K69" i="34" s="1"/>
  <c r="F69" i="34"/>
  <c r="G68" i="34"/>
  <c r="H68" i="34" s="1"/>
  <c r="M68" i="34" s="1"/>
  <c r="J85" i="28"/>
  <c r="D85" i="28"/>
  <c r="G86" i="28"/>
  <c r="I85" i="28"/>
  <c r="H85" i="28"/>
  <c r="B85" i="28"/>
  <c r="A70" i="34"/>
  <c r="E68" i="34"/>
  <c r="A86" i="28"/>
  <c r="C85" i="28"/>
  <c r="O70" i="34" l="1"/>
  <c r="D70" i="34"/>
  <c r="B70" i="34"/>
  <c r="C70" i="34"/>
  <c r="F70" i="34"/>
  <c r="I70" i="34"/>
  <c r="K70" i="34" s="1"/>
  <c r="G69" i="34"/>
  <c r="H69" i="34" s="1"/>
  <c r="M69" i="34" s="1"/>
  <c r="D86" i="28"/>
  <c r="J86" i="28"/>
  <c r="E69" i="34"/>
  <c r="G87" i="28"/>
  <c r="I86" i="28"/>
  <c r="H86" i="28"/>
  <c r="B86" i="28"/>
  <c r="A71" i="34"/>
  <c r="A87" i="28"/>
  <c r="C86" i="28"/>
  <c r="O71" i="34" l="1"/>
  <c r="D71" i="34"/>
  <c r="C71" i="34"/>
  <c r="B71" i="34"/>
  <c r="I71" i="34"/>
  <c r="K71" i="34" s="1"/>
  <c r="F71" i="34"/>
  <c r="G70" i="34"/>
  <c r="H70" i="34" s="1"/>
  <c r="M70" i="34" s="1"/>
  <c r="D87" i="28"/>
  <c r="J87" i="28"/>
  <c r="G88" i="28"/>
  <c r="I87" i="28"/>
  <c r="H87" i="28"/>
  <c r="B87" i="28"/>
  <c r="A72" i="34"/>
  <c r="E70" i="34"/>
  <c r="C87" i="28"/>
  <c r="A88" i="28"/>
  <c r="O72" i="34" l="1"/>
  <c r="D72" i="34"/>
  <c r="B72" i="34"/>
  <c r="C72" i="34"/>
  <c r="I72" i="34"/>
  <c r="K72" i="34" s="1"/>
  <c r="F72" i="34"/>
  <c r="G71" i="34"/>
  <c r="H71" i="34" s="1"/>
  <c r="M71" i="34" s="1"/>
  <c r="D88" i="28"/>
  <c r="J88" i="28"/>
  <c r="E71" i="34"/>
  <c r="G89" i="28"/>
  <c r="I88" i="28"/>
  <c r="H88" i="28"/>
  <c r="B88" i="28"/>
  <c r="A73" i="34"/>
  <c r="C88" i="28"/>
  <c r="A89" i="28"/>
  <c r="O73" i="34" l="1"/>
  <c r="D73" i="34"/>
  <c r="C73" i="34"/>
  <c r="B73" i="34"/>
  <c r="I73" i="34"/>
  <c r="K73" i="34" s="1"/>
  <c r="F73" i="34"/>
  <c r="G72" i="34"/>
  <c r="H72" i="34" s="1"/>
  <c r="M72" i="34" s="1"/>
  <c r="J89" i="28"/>
  <c r="D89" i="28"/>
  <c r="E72" i="34"/>
  <c r="G90" i="28"/>
  <c r="I89" i="28"/>
  <c r="H89" i="28"/>
  <c r="B89" i="28"/>
  <c r="A74" i="34"/>
  <c r="C89" i="28"/>
  <c r="A90" i="28"/>
  <c r="O74" i="34" l="1"/>
  <c r="D74" i="34"/>
  <c r="B74" i="34"/>
  <c r="C74" i="34"/>
  <c r="I74" i="34"/>
  <c r="K74" i="34" s="1"/>
  <c r="F74" i="34"/>
  <c r="G73" i="34"/>
  <c r="H73" i="34" s="1"/>
  <c r="M73" i="34" s="1"/>
  <c r="J90" i="28"/>
  <c r="D90" i="28"/>
  <c r="G91" i="28"/>
  <c r="I90" i="28"/>
  <c r="H90" i="28"/>
  <c r="B90" i="28"/>
  <c r="C90" i="28"/>
  <c r="A75" i="34"/>
  <c r="E73" i="34"/>
  <c r="A91" i="28"/>
  <c r="O75" i="34" l="1"/>
  <c r="D75" i="34"/>
  <c r="C75" i="34"/>
  <c r="B75" i="34"/>
  <c r="I75" i="34"/>
  <c r="K75" i="34" s="1"/>
  <c r="F75" i="34"/>
  <c r="G74" i="34"/>
  <c r="H74" i="34" s="1"/>
  <c r="M74" i="34" s="1"/>
  <c r="D91" i="28"/>
  <c r="J91" i="28"/>
  <c r="E74" i="34"/>
  <c r="G92" i="28"/>
  <c r="I91" i="28"/>
  <c r="H91" i="28"/>
  <c r="B91" i="28"/>
  <c r="A76" i="34"/>
  <c r="C91" i="28"/>
  <c r="A92" i="28"/>
  <c r="O76" i="34" l="1"/>
  <c r="D76" i="34"/>
  <c r="B76" i="34"/>
  <c r="C76" i="34"/>
  <c r="F76" i="34"/>
  <c r="I76" i="34"/>
  <c r="K76" i="34" s="1"/>
  <c r="G75" i="34"/>
  <c r="H75" i="34" s="1"/>
  <c r="M75" i="34" s="1"/>
  <c r="J92" i="28"/>
  <c r="D92" i="28"/>
  <c r="G93" i="28"/>
  <c r="I92" i="28"/>
  <c r="H92" i="28"/>
  <c r="B92" i="28"/>
  <c r="A77" i="34"/>
  <c r="E75" i="34"/>
  <c r="A93" i="28"/>
  <c r="C92" i="28"/>
  <c r="O77" i="34" l="1"/>
  <c r="D77" i="34"/>
  <c r="C77" i="34"/>
  <c r="B77" i="34"/>
  <c r="I77" i="34"/>
  <c r="K77" i="34" s="1"/>
  <c r="F77" i="34"/>
  <c r="G76" i="34"/>
  <c r="H76" i="34" s="1"/>
  <c r="M76" i="34" s="1"/>
  <c r="D93" i="28"/>
  <c r="J93" i="28"/>
  <c r="E76" i="34"/>
  <c r="G94" i="28"/>
  <c r="I93" i="28"/>
  <c r="H93" i="28"/>
  <c r="B93" i="28"/>
  <c r="A78" i="34"/>
  <c r="A94" i="28"/>
  <c r="C93" i="28"/>
  <c r="O78" i="34" l="1"/>
  <c r="D78" i="34"/>
  <c r="B78" i="34"/>
  <c r="C78" i="34"/>
  <c r="E16" i="36"/>
  <c r="D16" i="36"/>
  <c r="I13" i="25"/>
  <c r="G13" i="25"/>
  <c r="F78" i="34"/>
  <c r="I78" i="34"/>
  <c r="K78" i="34" s="1"/>
  <c r="G77" i="34"/>
  <c r="H77" i="34" s="1"/>
  <c r="M77" i="34" s="1"/>
  <c r="D94" i="28"/>
  <c r="J94" i="28"/>
  <c r="G95" i="28"/>
  <c r="I94" i="28"/>
  <c r="H94" i="28"/>
  <c r="B94" i="28"/>
  <c r="A79" i="34"/>
  <c r="E77" i="34"/>
  <c r="A95" i="28"/>
  <c r="C94" i="28"/>
  <c r="O79" i="34" l="1"/>
  <c r="D79" i="34"/>
  <c r="C79" i="34"/>
  <c r="B79" i="34"/>
  <c r="F16" i="36"/>
  <c r="G16" i="36" s="1"/>
  <c r="C17" i="36" s="1"/>
  <c r="I79" i="34"/>
  <c r="K79" i="34" s="1"/>
  <c r="F79" i="34"/>
  <c r="G78" i="34"/>
  <c r="H78" i="34" s="1"/>
  <c r="M78" i="34" s="1"/>
  <c r="D95" i="28"/>
  <c r="J95" i="28"/>
  <c r="E78" i="34"/>
  <c r="G96" i="28"/>
  <c r="I95" i="28"/>
  <c r="H95" i="28"/>
  <c r="B95" i="28"/>
  <c r="A80" i="34"/>
  <c r="C95" i="28"/>
  <c r="A96" i="28"/>
  <c r="O80" i="34" l="1"/>
  <c r="D80" i="34"/>
  <c r="B80" i="34"/>
  <c r="C80" i="34"/>
  <c r="D17" i="36"/>
  <c r="E17" i="36"/>
  <c r="I80" i="34"/>
  <c r="K80" i="34" s="1"/>
  <c r="F80" i="34"/>
  <c r="G79" i="34"/>
  <c r="H79" i="34" s="1"/>
  <c r="M79" i="34" s="1"/>
  <c r="D96" i="28"/>
  <c r="J96" i="28"/>
  <c r="G97" i="28"/>
  <c r="I96" i="28"/>
  <c r="H96" i="28"/>
  <c r="B96" i="28"/>
  <c r="A81" i="34"/>
  <c r="E79" i="34"/>
  <c r="A97" i="28"/>
  <c r="C96" i="28"/>
  <c r="O81" i="34" l="1"/>
  <c r="D81" i="34"/>
  <c r="C81" i="34"/>
  <c r="B81" i="34"/>
  <c r="B17" i="36"/>
  <c r="F17" i="36"/>
  <c r="G17" i="36" s="1"/>
  <c r="C18" i="36" s="1"/>
  <c r="I81" i="34"/>
  <c r="K81" i="34" s="1"/>
  <c r="F81" i="34"/>
  <c r="G80" i="34"/>
  <c r="H80" i="34" s="1"/>
  <c r="M80" i="34" s="1"/>
  <c r="E80" i="34"/>
  <c r="D97" i="28"/>
  <c r="J97" i="28"/>
  <c r="G98" i="28"/>
  <c r="I97" i="28"/>
  <c r="H97" i="28"/>
  <c r="B97" i="28"/>
  <c r="A82" i="34"/>
  <c r="A98" i="28"/>
  <c r="C97" i="28"/>
  <c r="O82" i="34" l="1"/>
  <c r="D82" i="34"/>
  <c r="B82" i="34"/>
  <c r="C82" i="34"/>
  <c r="E18" i="36"/>
  <c r="D18" i="36"/>
  <c r="I82" i="34"/>
  <c r="K82" i="34" s="1"/>
  <c r="F82" i="34"/>
  <c r="G81" i="34"/>
  <c r="H81" i="34" s="1"/>
  <c r="M81" i="34" s="1"/>
  <c r="D98" i="28"/>
  <c r="J98" i="28"/>
  <c r="G99" i="28"/>
  <c r="I98" i="28"/>
  <c r="H98" i="28"/>
  <c r="B98" i="28"/>
  <c r="A83" i="34"/>
  <c r="E81" i="34"/>
  <c r="A99" i="28"/>
  <c r="C98" i="28"/>
  <c r="O83" i="34" l="1"/>
  <c r="D83" i="34"/>
  <c r="C83" i="34"/>
  <c r="B83" i="34"/>
  <c r="B18" i="36"/>
  <c r="F18" i="36"/>
  <c r="G18" i="36" s="1"/>
  <c r="C19" i="36" s="1"/>
  <c r="I83" i="34"/>
  <c r="K83" i="34" s="1"/>
  <c r="F83" i="34"/>
  <c r="G82" i="34"/>
  <c r="H82" i="34" s="1"/>
  <c r="M82" i="34" s="1"/>
  <c r="D99" i="28"/>
  <c r="J99" i="28"/>
  <c r="E82" i="34"/>
  <c r="G100" i="28"/>
  <c r="I99" i="28"/>
  <c r="H99" i="28"/>
  <c r="B99" i="28"/>
  <c r="A84" i="34"/>
  <c r="A100" i="28"/>
  <c r="C99" i="28"/>
  <c r="O84" i="34" l="1"/>
  <c r="D84" i="34"/>
  <c r="B84" i="34"/>
  <c r="C84" i="34"/>
  <c r="D19" i="36"/>
  <c r="E19" i="36"/>
  <c r="I84" i="34"/>
  <c r="K84" i="34" s="1"/>
  <c r="F84" i="34"/>
  <c r="G83" i="34"/>
  <c r="H83" i="34" s="1"/>
  <c r="M83" i="34" s="1"/>
  <c r="J100" i="28"/>
  <c r="D100" i="28"/>
  <c r="G101" i="28"/>
  <c r="I100" i="28"/>
  <c r="H100" i="28"/>
  <c r="B100" i="28"/>
  <c r="A85" i="34"/>
  <c r="E83" i="34"/>
  <c r="A101" i="28"/>
  <c r="C100" i="28"/>
  <c r="O85" i="34" l="1"/>
  <c r="D85" i="34"/>
  <c r="C85" i="34"/>
  <c r="B85" i="34"/>
  <c r="B19" i="36"/>
  <c r="F19" i="36"/>
  <c r="G19" i="36" s="1"/>
  <c r="C20" i="36" s="1"/>
  <c r="I85" i="34"/>
  <c r="K85" i="34" s="1"/>
  <c r="F85" i="34"/>
  <c r="G84" i="34"/>
  <c r="H84" i="34" s="1"/>
  <c r="M84" i="34" s="1"/>
  <c r="E84" i="34"/>
  <c r="D101" i="28"/>
  <c r="J101" i="28"/>
  <c r="G102" i="28"/>
  <c r="I101" i="28"/>
  <c r="H101" i="28"/>
  <c r="B101" i="28"/>
  <c r="A86" i="34"/>
  <c r="C101" i="28"/>
  <c r="A102" i="28"/>
  <c r="O86" i="34" l="1"/>
  <c r="D86" i="34"/>
  <c r="B86" i="34"/>
  <c r="C86" i="34"/>
  <c r="E20" i="36"/>
  <c r="D20" i="36"/>
  <c r="B20" i="36" s="1"/>
  <c r="I86" i="34"/>
  <c r="K86" i="34" s="1"/>
  <c r="F86" i="34"/>
  <c r="G85" i="34"/>
  <c r="H85" i="34" s="1"/>
  <c r="M85" i="34" s="1"/>
  <c r="D102" i="28"/>
  <c r="J102" i="28"/>
  <c r="G103" i="28"/>
  <c r="I102" i="28"/>
  <c r="H102" i="28"/>
  <c r="B102" i="28"/>
  <c r="A103" i="28"/>
  <c r="A87" i="34"/>
  <c r="E85" i="34"/>
  <c r="C102" i="28"/>
  <c r="O87" i="34" l="1"/>
  <c r="D87" i="34"/>
  <c r="C87" i="34"/>
  <c r="B87" i="34"/>
  <c r="F20" i="36"/>
  <c r="G20" i="36" s="1"/>
  <c r="C21" i="36" s="1"/>
  <c r="I87" i="34"/>
  <c r="K87" i="34" s="1"/>
  <c r="F87" i="34"/>
  <c r="G86" i="34"/>
  <c r="H86" i="34" s="1"/>
  <c r="M86" i="34" s="1"/>
  <c r="J103" i="28"/>
  <c r="E86" i="34"/>
  <c r="A104" i="28"/>
  <c r="B104" i="28" s="1"/>
  <c r="D103" i="28"/>
  <c r="G104" i="28"/>
  <c r="I103" i="28"/>
  <c r="H103" i="28"/>
  <c r="B103" i="28"/>
  <c r="C103" i="28"/>
  <c r="A88" i="34"/>
  <c r="C104" i="28"/>
  <c r="A105" i="28" l="1"/>
  <c r="C105" i="28" s="1"/>
  <c r="O88" i="34"/>
  <c r="D88" i="34"/>
  <c r="B88" i="34"/>
  <c r="C88" i="34"/>
  <c r="D21" i="36"/>
  <c r="B21" i="36" s="1"/>
  <c r="E21" i="36"/>
  <c r="F21" i="36" s="1"/>
  <c r="G21" i="36" s="1"/>
  <c r="C22" i="36" s="1"/>
  <c r="I88" i="34"/>
  <c r="K88" i="34" s="1"/>
  <c r="F88" i="34"/>
  <c r="G87" i="34"/>
  <c r="H87" i="34" s="1"/>
  <c r="M87" i="34" s="1"/>
  <c r="D105" i="28"/>
  <c r="J104" i="28"/>
  <c r="D104" i="28"/>
  <c r="G105" i="28"/>
  <c r="I104" i="28"/>
  <c r="H104" i="28"/>
  <c r="B105" i="28"/>
  <c r="A89" i="34"/>
  <c r="E87" i="34"/>
  <c r="A106" i="28"/>
  <c r="O89" i="34" l="1"/>
  <c r="D89" i="34"/>
  <c r="C89" i="34"/>
  <c r="B89" i="34"/>
  <c r="E22" i="36"/>
  <c r="F22" i="36" s="1"/>
  <c r="G22" i="36" s="1"/>
  <c r="C23" i="36" s="1"/>
  <c r="D22" i="36"/>
  <c r="B22" i="36" s="1"/>
  <c r="I89" i="34"/>
  <c r="K89" i="34" s="1"/>
  <c r="F89" i="34"/>
  <c r="G88" i="34"/>
  <c r="H88" i="34" s="1"/>
  <c r="M88" i="34" s="1"/>
  <c r="D106" i="28"/>
  <c r="J105" i="28"/>
  <c r="G106" i="28"/>
  <c r="I105" i="28"/>
  <c r="H105" i="28"/>
  <c r="B106" i="28"/>
  <c r="E88" i="34"/>
  <c r="A90" i="34"/>
  <c r="A107" i="28"/>
  <c r="C106" i="28"/>
  <c r="O90" i="34" l="1"/>
  <c r="D90" i="34"/>
  <c r="B90" i="34"/>
  <c r="C90" i="34"/>
  <c r="D23" i="36"/>
  <c r="B23" i="36" s="1"/>
  <c r="E23" i="36"/>
  <c r="F23" i="36" s="1"/>
  <c r="G23" i="36" s="1"/>
  <c r="C24" i="36" s="1"/>
  <c r="I90" i="34"/>
  <c r="K90" i="34" s="1"/>
  <c r="F90" i="34"/>
  <c r="G89" i="34"/>
  <c r="H89" i="34" s="1"/>
  <c r="M89" i="34" s="1"/>
  <c r="D107" i="28"/>
  <c r="E107" i="28"/>
  <c r="J106" i="28"/>
  <c r="G107" i="28"/>
  <c r="I106" i="28"/>
  <c r="H106" i="28"/>
  <c r="B107" i="28"/>
  <c r="A91" i="34"/>
  <c r="E89" i="34"/>
  <c r="C107" i="28"/>
  <c r="A108" i="28"/>
  <c r="O91" i="34" l="1"/>
  <c r="D91" i="34"/>
  <c r="C91" i="34"/>
  <c r="B91" i="34"/>
  <c r="E24" i="36"/>
  <c r="F24" i="36" s="1"/>
  <c r="G24" i="36" s="1"/>
  <c r="C25" i="36" s="1"/>
  <c r="D24" i="36"/>
  <c r="B24" i="36" s="1"/>
  <c r="I91" i="34"/>
  <c r="K91" i="34" s="1"/>
  <c r="F91" i="34"/>
  <c r="G90" i="34"/>
  <c r="H90" i="34" s="1"/>
  <c r="M90" i="34" s="1"/>
  <c r="D108" i="28"/>
  <c r="E108" i="28"/>
  <c r="J107" i="28"/>
  <c r="K107" i="28"/>
  <c r="E90" i="34"/>
  <c r="G108" i="28"/>
  <c r="I107" i="28"/>
  <c r="H107" i="28"/>
  <c r="B108" i="28"/>
  <c r="A92" i="34"/>
  <c r="A109" i="28"/>
  <c r="C108" i="28"/>
  <c r="O92" i="34" l="1"/>
  <c r="D92" i="34"/>
  <c r="B92" i="34"/>
  <c r="C92" i="34"/>
  <c r="D25" i="36"/>
  <c r="B25" i="36" s="1"/>
  <c r="E25" i="36"/>
  <c r="F25" i="36" s="1"/>
  <c r="G25" i="36" s="1"/>
  <c r="C26" i="36" s="1"/>
  <c r="I92" i="34"/>
  <c r="K92" i="34" s="1"/>
  <c r="F92" i="34"/>
  <c r="G91" i="34"/>
  <c r="H91" i="34" s="1"/>
  <c r="M91" i="34" s="1"/>
  <c r="B63" i="25"/>
  <c r="D63" i="25" s="1"/>
  <c r="J108" i="28"/>
  <c r="K108" i="28"/>
  <c r="D109" i="28"/>
  <c r="E109" i="28"/>
  <c r="G109" i="28"/>
  <c r="I108" i="28"/>
  <c r="H108" i="28"/>
  <c r="B109" i="28"/>
  <c r="A93" i="34"/>
  <c r="E91" i="34"/>
  <c r="C109" i="28"/>
  <c r="A110" i="28"/>
  <c r="O93" i="34" l="1"/>
  <c r="D93" i="34"/>
  <c r="C93" i="34"/>
  <c r="B93" i="34"/>
  <c r="D26" i="36"/>
  <c r="B26" i="36" s="1"/>
  <c r="E26" i="36"/>
  <c r="F26" i="36" s="1"/>
  <c r="G26" i="36" s="1"/>
  <c r="C27" i="36" s="1"/>
  <c r="I93" i="34"/>
  <c r="K93" i="34" s="1"/>
  <c r="F93" i="34"/>
  <c r="G92" i="34"/>
  <c r="H92" i="34" s="1"/>
  <c r="M92" i="34" s="1"/>
  <c r="B64" i="25"/>
  <c r="D64" i="25" s="1"/>
  <c r="D110" i="28"/>
  <c r="E110" i="28"/>
  <c r="J109" i="28"/>
  <c r="K109" i="28"/>
  <c r="E92" i="34"/>
  <c r="G110" i="28"/>
  <c r="I109" i="28"/>
  <c r="H109" i="28"/>
  <c r="B110" i="28"/>
  <c r="A94" i="34"/>
  <c r="A111" i="28"/>
  <c r="C110" i="28"/>
  <c r="O94" i="34" l="1"/>
  <c r="D94" i="34"/>
  <c r="B94" i="34"/>
  <c r="C94" i="34"/>
  <c r="D27" i="36"/>
  <c r="B27" i="36" s="1"/>
  <c r="E27" i="36"/>
  <c r="F27" i="36" s="1"/>
  <c r="G27" i="36" s="1"/>
  <c r="C28" i="36" s="1"/>
  <c r="I94" i="34"/>
  <c r="K94" i="34" s="1"/>
  <c r="F94" i="34"/>
  <c r="G93" i="34"/>
  <c r="H93" i="34" s="1"/>
  <c r="M93" i="34" s="1"/>
  <c r="B65" i="25"/>
  <c r="D65" i="25" s="1"/>
  <c r="J110" i="28"/>
  <c r="K110" i="28"/>
  <c r="D111" i="28"/>
  <c r="E111" i="28"/>
  <c r="G111" i="28"/>
  <c r="I110" i="28"/>
  <c r="H110" i="28"/>
  <c r="B111" i="28"/>
  <c r="A95" i="34"/>
  <c r="E93" i="34"/>
  <c r="C111" i="28"/>
  <c r="A112" i="28"/>
  <c r="O95" i="34" l="1"/>
  <c r="D95" i="34"/>
  <c r="C95" i="34"/>
  <c r="B95" i="34"/>
  <c r="E28" i="36"/>
  <c r="F28" i="36" s="1"/>
  <c r="G28" i="36" s="1"/>
  <c r="C29" i="36" s="1"/>
  <c r="D28" i="36"/>
  <c r="B28" i="36" s="1"/>
  <c r="I95" i="34"/>
  <c r="K95" i="34" s="1"/>
  <c r="F95" i="34"/>
  <c r="G94" i="34"/>
  <c r="H94" i="34" s="1"/>
  <c r="M94" i="34" s="1"/>
  <c r="B66" i="25"/>
  <c r="D66" i="25" s="1"/>
  <c r="D112" i="28"/>
  <c r="E112" i="28"/>
  <c r="J111" i="28"/>
  <c r="K111" i="28"/>
  <c r="E94" i="34"/>
  <c r="G112" i="28"/>
  <c r="I111" i="28"/>
  <c r="H111" i="28"/>
  <c r="B67" i="25" s="1"/>
  <c r="B112" i="28"/>
  <c r="A96" i="34"/>
  <c r="A113" i="28"/>
  <c r="C112" i="28"/>
  <c r="O96" i="34" l="1"/>
  <c r="D96" i="34"/>
  <c r="B96" i="34"/>
  <c r="C96" i="34"/>
  <c r="D29" i="36"/>
  <c r="B29" i="36" s="1"/>
  <c r="E29" i="36"/>
  <c r="F29" i="36" s="1"/>
  <c r="G29" i="36" s="1"/>
  <c r="C30" i="36" s="1"/>
  <c r="I96" i="34"/>
  <c r="K96" i="34" s="1"/>
  <c r="F96" i="34"/>
  <c r="G95" i="34"/>
  <c r="H95" i="34" s="1"/>
  <c r="M95" i="34" s="1"/>
  <c r="D67" i="25"/>
  <c r="J112" i="28"/>
  <c r="K112" i="28"/>
  <c r="D113" i="28"/>
  <c r="E113" i="28"/>
  <c r="G113" i="28"/>
  <c r="I112" i="28"/>
  <c r="H112" i="28"/>
  <c r="B113" i="28"/>
  <c r="A97" i="34"/>
  <c r="E95" i="34"/>
  <c r="C113" i="28"/>
  <c r="A114" i="28"/>
  <c r="O97" i="34" l="1"/>
  <c r="D97" i="34"/>
  <c r="C97" i="34"/>
  <c r="B97" i="34"/>
  <c r="E30" i="36"/>
  <c r="F30" i="36" s="1"/>
  <c r="G30" i="36" s="1"/>
  <c r="C31" i="36" s="1"/>
  <c r="D30" i="36"/>
  <c r="B30" i="36" s="1"/>
  <c r="I97" i="34"/>
  <c r="K97" i="34" s="1"/>
  <c r="F97" i="34"/>
  <c r="G96" i="34"/>
  <c r="H96" i="34" s="1"/>
  <c r="M96" i="34" s="1"/>
  <c r="B68" i="25"/>
  <c r="D68" i="25" s="1"/>
  <c r="D114" i="28"/>
  <c r="E114" i="28"/>
  <c r="J113" i="28"/>
  <c r="K113" i="28"/>
  <c r="E96" i="34"/>
  <c r="G114" i="28"/>
  <c r="I113" i="28"/>
  <c r="H113" i="28"/>
  <c r="B114" i="28"/>
  <c r="A98" i="34"/>
  <c r="A115" i="28"/>
  <c r="C114" i="28"/>
  <c r="O98" i="34" l="1"/>
  <c r="D98" i="34"/>
  <c r="B98" i="34"/>
  <c r="C98" i="34"/>
  <c r="D31" i="36"/>
  <c r="B31" i="36" s="1"/>
  <c r="E31" i="36"/>
  <c r="F31" i="36" s="1"/>
  <c r="G31" i="36" s="1"/>
  <c r="C32" i="36" s="1"/>
  <c r="I98" i="34"/>
  <c r="K98" i="34" s="1"/>
  <c r="F98" i="34"/>
  <c r="G97" i="34"/>
  <c r="H97" i="34" s="1"/>
  <c r="M97" i="34" s="1"/>
  <c r="B69" i="25"/>
  <c r="D69" i="25" s="1"/>
  <c r="J114" i="28"/>
  <c r="K114" i="28"/>
  <c r="D115" i="28"/>
  <c r="E115" i="28"/>
  <c r="G115" i="28"/>
  <c r="I114" i="28"/>
  <c r="H114" i="28"/>
  <c r="B115" i="28"/>
  <c r="A99" i="34"/>
  <c r="E97" i="34"/>
  <c r="C115" i="28"/>
  <c r="A116" i="28"/>
  <c r="O99" i="34" l="1"/>
  <c r="D99" i="34"/>
  <c r="C99" i="34"/>
  <c r="B99" i="34"/>
  <c r="E32" i="36"/>
  <c r="F32" i="36" s="1"/>
  <c r="G32" i="36" s="1"/>
  <c r="C33" i="36" s="1"/>
  <c r="D32" i="36"/>
  <c r="B32" i="36" s="1"/>
  <c r="I99" i="34"/>
  <c r="K99" i="34" s="1"/>
  <c r="F99" i="34"/>
  <c r="G98" i="34"/>
  <c r="H98" i="34" s="1"/>
  <c r="M98" i="34" s="1"/>
  <c r="B70" i="25"/>
  <c r="D70" i="25" s="1"/>
  <c r="D116" i="28"/>
  <c r="E116" i="28"/>
  <c r="J115" i="28"/>
  <c r="K115" i="28"/>
  <c r="E98" i="34"/>
  <c r="G116" i="28"/>
  <c r="I115" i="28"/>
  <c r="H115" i="28"/>
  <c r="B116" i="28"/>
  <c r="A100" i="34"/>
  <c r="A117" i="28"/>
  <c r="C116" i="28"/>
  <c r="O100" i="34" l="1"/>
  <c r="D100" i="34"/>
  <c r="B100" i="34"/>
  <c r="C100" i="34"/>
  <c r="D33" i="36"/>
  <c r="B33" i="36" s="1"/>
  <c r="E33" i="36"/>
  <c r="F33" i="36" s="1"/>
  <c r="G33" i="36" s="1"/>
  <c r="C34" i="36" s="1"/>
  <c r="I100" i="34"/>
  <c r="K100" i="34" s="1"/>
  <c r="F100" i="34"/>
  <c r="G99" i="34"/>
  <c r="H99" i="34" s="1"/>
  <c r="M99" i="34" s="1"/>
  <c r="B71" i="25"/>
  <c r="D71" i="25" s="1"/>
  <c r="J116" i="28"/>
  <c r="K116" i="28"/>
  <c r="D117" i="28"/>
  <c r="E117" i="28"/>
  <c r="G117" i="28"/>
  <c r="I116" i="28"/>
  <c r="H116" i="28"/>
  <c r="B117" i="28"/>
  <c r="A101" i="34"/>
  <c r="E99" i="34"/>
  <c r="C117" i="28"/>
  <c r="A118" i="28"/>
  <c r="O101" i="34" l="1"/>
  <c r="D101" i="34"/>
  <c r="C101" i="34"/>
  <c r="B101" i="34"/>
  <c r="E34" i="36"/>
  <c r="F34" i="36" s="1"/>
  <c r="G34" i="36" s="1"/>
  <c r="C35" i="36" s="1"/>
  <c r="D34" i="36"/>
  <c r="B34" i="36" s="1"/>
  <c r="I101" i="34"/>
  <c r="K101" i="34" s="1"/>
  <c r="F101" i="34"/>
  <c r="G100" i="34"/>
  <c r="H100" i="34" s="1"/>
  <c r="M100" i="34" s="1"/>
  <c r="B72" i="25"/>
  <c r="D72" i="25" s="1"/>
  <c r="D118" i="28"/>
  <c r="E118" i="28"/>
  <c r="J117" i="28"/>
  <c r="K117" i="28"/>
  <c r="E100" i="34"/>
  <c r="G118" i="28"/>
  <c r="I117" i="28"/>
  <c r="H117" i="28"/>
  <c r="B118" i="28"/>
  <c r="A102" i="34"/>
  <c r="A119" i="28"/>
  <c r="C118" i="28"/>
  <c r="O102" i="34" l="1"/>
  <c r="D102" i="34"/>
  <c r="B102" i="34"/>
  <c r="C102" i="34"/>
  <c r="E35" i="36"/>
  <c r="F35" i="36" s="1"/>
  <c r="G35" i="36" s="1"/>
  <c r="C36" i="36" s="1"/>
  <c r="D35" i="36"/>
  <c r="B35" i="36" s="1"/>
  <c r="I102" i="34"/>
  <c r="K102" i="34" s="1"/>
  <c r="F102" i="34"/>
  <c r="G101" i="34"/>
  <c r="H101" i="34" s="1"/>
  <c r="M101" i="34" s="1"/>
  <c r="B73" i="25"/>
  <c r="D73" i="25" s="1"/>
  <c r="D119" i="28"/>
  <c r="E119" i="28"/>
  <c r="J118" i="28"/>
  <c r="K118" i="28"/>
  <c r="G119" i="28"/>
  <c r="I118" i="28"/>
  <c r="H118" i="28"/>
  <c r="B119" i="28"/>
  <c r="A103" i="34"/>
  <c r="E101" i="34"/>
  <c r="C119" i="28"/>
  <c r="A120" i="28"/>
  <c r="O103" i="34" l="1"/>
  <c r="D103" i="34"/>
  <c r="C103" i="34"/>
  <c r="B103" i="34"/>
  <c r="D36" i="36"/>
  <c r="B36" i="36" s="1"/>
  <c r="E36" i="36"/>
  <c r="F36" i="36" s="1"/>
  <c r="G36" i="36" s="1"/>
  <c r="C37" i="36" s="1"/>
  <c r="I103" i="34"/>
  <c r="K103" i="34" s="1"/>
  <c r="F103" i="34"/>
  <c r="G102" i="34"/>
  <c r="H102" i="34" s="1"/>
  <c r="M102" i="34" s="1"/>
  <c r="B74" i="25"/>
  <c r="D74" i="25" s="1"/>
  <c r="D120" i="28"/>
  <c r="E120" i="28"/>
  <c r="J119" i="28"/>
  <c r="K119" i="28"/>
  <c r="E102" i="34"/>
  <c r="G120" i="28"/>
  <c r="I119" i="28"/>
  <c r="H119" i="28"/>
  <c r="B120" i="28"/>
  <c r="A104" i="34"/>
  <c r="A121" i="28"/>
  <c r="C120" i="28"/>
  <c r="O104" i="34" l="1"/>
  <c r="D104" i="34"/>
  <c r="B104" i="34"/>
  <c r="C104" i="34"/>
  <c r="E37" i="36"/>
  <c r="F37" i="36" s="1"/>
  <c r="G37" i="36" s="1"/>
  <c r="C38" i="36" s="1"/>
  <c r="D37" i="36"/>
  <c r="B37" i="36" s="1"/>
  <c r="I104" i="34"/>
  <c r="K104" i="34" s="1"/>
  <c r="F104" i="34"/>
  <c r="G103" i="34"/>
  <c r="H103" i="34" s="1"/>
  <c r="M103" i="34" s="1"/>
  <c r="B75" i="25"/>
  <c r="D75" i="25" s="1"/>
  <c r="J120" i="28"/>
  <c r="K120" i="28"/>
  <c r="D121" i="28"/>
  <c r="E121" i="28"/>
  <c r="G121" i="28"/>
  <c r="I120" i="28"/>
  <c r="H120" i="28"/>
  <c r="B121" i="28"/>
  <c r="A105" i="34"/>
  <c r="E103" i="34"/>
  <c r="C121" i="28"/>
  <c r="A122" i="28"/>
  <c r="O105" i="34" l="1"/>
  <c r="D105" i="34"/>
  <c r="C105" i="34"/>
  <c r="B105" i="34"/>
  <c r="E38" i="36"/>
  <c r="F38" i="36" s="1"/>
  <c r="G38" i="36" s="1"/>
  <c r="C39" i="36" s="1"/>
  <c r="D38" i="36"/>
  <c r="B38" i="36" s="1"/>
  <c r="I105" i="34"/>
  <c r="K105" i="34" s="1"/>
  <c r="F105" i="34"/>
  <c r="G104" i="34"/>
  <c r="H104" i="34" s="1"/>
  <c r="M104" i="34" s="1"/>
  <c r="B76" i="25"/>
  <c r="D76" i="25" s="1"/>
  <c r="D122" i="28"/>
  <c r="E122" i="28"/>
  <c r="J121" i="28"/>
  <c r="K121" i="28"/>
  <c r="E104" i="34"/>
  <c r="G122" i="28"/>
  <c r="I121" i="28"/>
  <c r="H121" i="28"/>
  <c r="B122" i="28"/>
  <c r="A106" i="34"/>
  <c r="A123" i="28"/>
  <c r="C122" i="28"/>
  <c r="O106" i="34" l="1"/>
  <c r="D106" i="34"/>
  <c r="B106" i="34"/>
  <c r="C106" i="34"/>
  <c r="D39" i="36"/>
  <c r="B39" i="36" s="1"/>
  <c r="E39" i="36"/>
  <c r="F39" i="36" s="1"/>
  <c r="G39" i="36" s="1"/>
  <c r="C40" i="36" s="1"/>
  <c r="I106" i="34"/>
  <c r="K106" i="34" s="1"/>
  <c r="F106" i="34"/>
  <c r="G105" i="34"/>
  <c r="H105" i="34" s="1"/>
  <c r="M105" i="34" s="1"/>
  <c r="B77" i="25"/>
  <c r="D77" i="25" s="1"/>
  <c r="J122" i="28"/>
  <c r="K122" i="28"/>
  <c r="D123" i="28"/>
  <c r="E123" i="28"/>
  <c r="G123" i="28"/>
  <c r="I122" i="28"/>
  <c r="H122" i="28"/>
  <c r="B123" i="28"/>
  <c r="A107" i="34"/>
  <c r="E105" i="34"/>
  <c r="C123" i="28"/>
  <c r="A124" i="28"/>
  <c r="O107" i="34" l="1"/>
  <c r="D107" i="34"/>
  <c r="C107" i="34"/>
  <c r="B107" i="34"/>
  <c r="E40" i="36"/>
  <c r="F40" i="36" s="1"/>
  <c r="G40" i="36" s="1"/>
  <c r="C41" i="36" s="1"/>
  <c r="D40" i="36"/>
  <c r="B40" i="36" s="1"/>
  <c r="I107" i="34"/>
  <c r="K107" i="34" s="1"/>
  <c r="F107" i="34"/>
  <c r="G106" i="34"/>
  <c r="H106" i="34" s="1"/>
  <c r="M106" i="34" s="1"/>
  <c r="B78" i="25"/>
  <c r="D78" i="25" s="1"/>
  <c r="D124" i="28"/>
  <c r="E124" i="28"/>
  <c r="J123" i="28"/>
  <c r="K123" i="28"/>
  <c r="E106" i="34"/>
  <c r="G124" i="28"/>
  <c r="I123" i="28"/>
  <c r="H123" i="28"/>
  <c r="B124" i="28"/>
  <c r="A108" i="34"/>
  <c r="A125" i="28"/>
  <c r="C124" i="28"/>
  <c r="O108" i="34" l="1"/>
  <c r="D108" i="34"/>
  <c r="B108" i="34"/>
  <c r="C108" i="34"/>
  <c r="E41" i="36"/>
  <c r="F41" i="36" s="1"/>
  <c r="G41" i="36" s="1"/>
  <c r="C42" i="36" s="1"/>
  <c r="D41" i="36"/>
  <c r="B41" i="36" s="1"/>
  <c r="I108" i="34"/>
  <c r="K108" i="34" s="1"/>
  <c r="F108" i="34"/>
  <c r="G107" i="34"/>
  <c r="H107" i="34" s="1"/>
  <c r="M107" i="34" s="1"/>
  <c r="B79" i="25"/>
  <c r="D79" i="25" s="1"/>
  <c r="J124" i="28"/>
  <c r="K124" i="28"/>
  <c r="D125" i="28"/>
  <c r="E125" i="28"/>
  <c r="G125" i="28"/>
  <c r="I124" i="28"/>
  <c r="H124" i="28"/>
  <c r="B125" i="28"/>
  <c r="A109" i="34"/>
  <c r="E107" i="34"/>
  <c r="C125" i="28"/>
  <c r="A126" i="28"/>
  <c r="O109" i="34" l="1"/>
  <c r="D109" i="34"/>
  <c r="C109" i="34"/>
  <c r="B109" i="34"/>
  <c r="E42" i="36"/>
  <c r="F42" i="36" s="1"/>
  <c r="G42" i="36" s="1"/>
  <c r="C43" i="36" s="1"/>
  <c r="D42" i="36"/>
  <c r="B42" i="36" s="1"/>
  <c r="I109" i="34"/>
  <c r="K109" i="34" s="1"/>
  <c r="F109" i="34"/>
  <c r="G108" i="34"/>
  <c r="H108" i="34" s="1"/>
  <c r="M108" i="34" s="1"/>
  <c r="B80" i="25"/>
  <c r="D80" i="25" s="1"/>
  <c r="D126" i="28"/>
  <c r="E126" i="28"/>
  <c r="J125" i="28"/>
  <c r="K125" i="28"/>
  <c r="G126" i="28"/>
  <c r="I125" i="28"/>
  <c r="H125" i="28"/>
  <c r="B126" i="28"/>
  <c r="E108" i="34"/>
  <c r="A110" i="34"/>
  <c r="A127" i="28"/>
  <c r="C126" i="28"/>
  <c r="O110" i="34" l="1"/>
  <c r="D110" i="34"/>
  <c r="B110" i="34"/>
  <c r="C110" i="34"/>
  <c r="E43" i="36"/>
  <c r="F43" i="36" s="1"/>
  <c r="G43" i="36" s="1"/>
  <c r="C44" i="36" s="1"/>
  <c r="D43" i="36"/>
  <c r="B43" i="36" s="1"/>
  <c r="I110" i="34"/>
  <c r="K110" i="34" s="1"/>
  <c r="F110" i="34"/>
  <c r="G109" i="34"/>
  <c r="H109" i="34" s="1"/>
  <c r="M109" i="34" s="1"/>
  <c r="B81" i="25"/>
  <c r="D81" i="25" s="1"/>
  <c r="D127" i="28"/>
  <c r="E127" i="28"/>
  <c r="J126" i="28"/>
  <c r="K126" i="28"/>
  <c r="G127" i="28"/>
  <c r="I126" i="28"/>
  <c r="H126" i="28"/>
  <c r="B127" i="28"/>
  <c r="A111" i="34"/>
  <c r="E109" i="34"/>
  <c r="C127" i="28"/>
  <c r="A128" i="28"/>
  <c r="O111" i="34" l="1"/>
  <c r="D111" i="34"/>
  <c r="C111" i="34"/>
  <c r="B111" i="34"/>
  <c r="D44" i="36"/>
  <c r="B44" i="36" s="1"/>
  <c r="E44" i="36"/>
  <c r="F44" i="36" s="1"/>
  <c r="G44" i="36" s="1"/>
  <c r="C45" i="36" s="1"/>
  <c r="I111" i="34"/>
  <c r="K111" i="34" s="1"/>
  <c r="F111" i="34"/>
  <c r="G110" i="34"/>
  <c r="H110" i="34" s="1"/>
  <c r="M110" i="34" s="1"/>
  <c r="B82" i="25"/>
  <c r="D82" i="25" s="1"/>
  <c r="D128" i="28"/>
  <c r="E128" i="28"/>
  <c r="J127" i="28"/>
  <c r="K127" i="28"/>
  <c r="E110" i="34"/>
  <c r="G128" i="28"/>
  <c r="I127" i="28"/>
  <c r="H127" i="28"/>
  <c r="B83" i="25" s="1"/>
  <c r="B128" i="28"/>
  <c r="A112" i="34"/>
  <c r="A129" i="28"/>
  <c r="C128" i="28"/>
  <c r="O112" i="34" l="1"/>
  <c r="D112" i="34"/>
  <c r="B112" i="34"/>
  <c r="C112" i="34"/>
  <c r="E45" i="36"/>
  <c r="F45" i="36" s="1"/>
  <c r="G45" i="36" s="1"/>
  <c r="C46" i="36" s="1"/>
  <c r="D45" i="36"/>
  <c r="B45" i="36" s="1"/>
  <c r="I112" i="34"/>
  <c r="K112" i="34" s="1"/>
  <c r="F112" i="34"/>
  <c r="G111" i="34"/>
  <c r="H111" i="34" s="1"/>
  <c r="M111" i="34" s="1"/>
  <c r="D83" i="25"/>
  <c r="J128" i="28"/>
  <c r="K128" i="28"/>
  <c r="D129" i="28"/>
  <c r="E129" i="28"/>
  <c r="E111" i="34"/>
  <c r="G129" i="28"/>
  <c r="I128" i="28"/>
  <c r="H128" i="28"/>
  <c r="B129" i="28"/>
  <c r="A113" i="34"/>
  <c r="C129" i="28"/>
  <c r="A130" i="28"/>
  <c r="O113" i="34" l="1"/>
  <c r="D113" i="34"/>
  <c r="C113" i="34"/>
  <c r="B113" i="34"/>
  <c r="D46" i="36"/>
  <c r="B46" i="36" s="1"/>
  <c r="E46" i="36"/>
  <c r="F46" i="36" s="1"/>
  <c r="G46" i="36" s="1"/>
  <c r="C47" i="36" s="1"/>
  <c r="I113" i="34"/>
  <c r="K113" i="34" s="1"/>
  <c r="F113" i="34"/>
  <c r="G112" i="34"/>
  <c r="H112" i="34" s="1"/>
  <c r="M112" i="34" s="1"/>
  <c r="B84" i="25"/>
  <c r="D84" i="25" s="1"/>
  <c r="J129" i="28"/>
  <c r="K129" i="28"/>
  <c r="D130" i="28"/>
  <c r="E130" i="28"/>
  <c r="G130" i="28"/>
  <c r="I129" i="28"/>
  <c r="H129" i="28"/>
  <c r="B130" i="28"/>
  <c r="A114" i="34"/>
  <c r="E112" i="34"/>
  <c r="A131" i="28"/>
  <c r="C130" i="28"/>
  <c r="O114" i="34" l="1"/>
  <c r="D114" i="34"/>
  <c r="C114" i="34"/>
  <c r="B114" i="34"/>
  <c r="E47" i="36"/>
  <c r="F47" i="36" s="1"/>
  <c r="G47" i="36" s="1"/>
  <c r="C48" i="36" s="1"/>
  <c r="D47" i="36"/>
  <c r="B47" i="36" s="1"/>
  <c r="I114" i="34"/>
  <c r="K114" i="34" s="1"/>
  <c r="F114" i="34"/>
  <c r="G113" i="34"/>
  <c r="H113" i="34" s="1"/>
  <c r="M113" i="34" s="1"/>
  <c r="B85" i="25"/>
  <c r="D85" i="25" s="1"/>
  <c r="D131" i="28"/>
  <c r="E131" i="28"/>
  <c r="J130" i="28"/>
  <c r="K130" i="28"/>
  <c r="E113" i="34"/>
  <c r="G131" i="28"/>
  <c r="I130" i="28"/>
  <c r="H130" i="28"/>
  <c r="B131" i="28"/>
  <c r="A115" i="34"/>
  <c r="C131" i="28"/>
  <c r="A132" i="28"/>
  <c r="O115" i="34" l="1"/>
  <c r="D115" i="34"/>
  <c r="C115" i="34"/>
  <c r="B115" i="34"/>
  <c r="D48" i="36"/>
  <c r="B48" i="36" s="1"/>
  <c r="E48" i="36"/>
  <c r="F48" i="36" s="1"/>
  <c r="G48" i="36" s="1"/>
  <c r="C49" i="36" s="1"/>
  <c r="I115" i="34"/>
  <c r="K115" i="34" s="1"/>
  <c r="F115" i="34"/>
  <c r="G114" i="34"/>
  <c r="H114" i="34" s="1"/>
  <c r="M114" i="34" s="1"/>
  <c r="B86" i="25"/>
  <c r="D86" i="25" s="1"/>
  <c r="J131" i="28"/>
  <c r="K131" i="28"/>
  <c r="D132" i="28"/>
  <c r="E132" i="28"/>
  <c r="G132" i="28"/>
  <c r="I131" i="28"/>
  <c r="H131" i="28"/>
  <c r="B132" i="28"/>
  <c r="A116" i="34"/>
  <c r="E114" i="34"/>
  <c r="E115" i="34" s="1"/>
  <c r="A133" i="28"/>
  <c r="C132" i="28"/>
  <c r="D49" i="36" l="1"/>
  <c r="B49" i="36" s="1"/>
  <c r="E49" i="36"/>
  <c r="F49" i="36" s="1"/>
  <c r="G49" i="36" s="1"/>
  <c r="C50" i="36" s="1"/>
  <c r="O116" i="34"/>
  <c r="D116" i="34"/>
  <c r="C116" i="34"/>
  <c r="B116" i="34"/>
  <c r="I116" i="34"/>
  <c r="K116" i="34" s="1"/>
  <c r="F116" i="34"/>
  <c r="G115" i="34"/>
  <c r="H115" i="34" s="1"/>
  <c r="M115" i="34" s="1"/>
  <c r="B87" i="25"/>
  <c r="D87" i="25" s="1"/>
  <c r="D133" i="28"/>
  <c r="E133" i="28"/>
  <c r="J132" i="28"/>
  <c r="K132" i="28"/>
  <c r="G133" i="28"/>
  <c r="I132" i="28"/>
  <c r="H132" i="28"/>
  <c r="B133" i="28"/>
  <c r="A117" i="34"/>
  <c r="C133" i="28"/>
  <c r="A134" i="28"/>
  <c r="D50" i="36" l="1"/>
  <c r="B50" i="36" s="1"/>
  <c r="E50" i="36"/>
  <c r="F50" i="36" s="1"/>
  <c r="G50" i="36" s="1"/>
  <c r="C51" i="36" s="1"/>
  <c r="O117" i="34"/>
  <c r="D117" i="34"/>
  <c r="C117" i="34"/>
  <c r="B117" i="34"/>
  <c r="I117" i="34"/>
  <c r="K117" i="34" s="1"/>
  <c r="F117" i="34"/>
  <c r="G116" i="34"/>
  <c r="H116" i="34" s="1"/>
  <c r="M116" i="34" s="1"/>
  <c r="B88" i="25"/>
  <c r="D88" i="25" s="1"/>
  <c r="D134" i="28"/>
  <c r="E134" i="28"/>
  <c r="J133" i="28"/>
  <c r="K133" i="28"/>
  <c r="G134" i="28"/>
  <c r="I133" i="28"/>
  <c r="H133" i="28"/>
  <c r="B134" i="28"/>
  <c r="A118" i="34"/>
  <c r="E116" i="34"/>
  <c r="A135" i="28"/>
  <c r="C134" i="28"/>
  <c r="E51" i="36" l="1"/>
  <c r="F51" i="36" s="1"/>
  <c r="G51" i="36" s="1"/>
  <c r="C52" i="36" s="1"/>
  <c r="D51" i="36"/>
  <c r="B51" i="36" s="1"/>
  <c r="O118" i="34"/>
  <c r="D118" i="34"/>
  <c r="C118" i="34"/>
  <c r="B118" i="34"/>
  <c r="I118" i="34"/>
  <c r="K118" i="34" s="1"/>
  <c r="F118" i="34"/>
  <c r="G117" i="34"/>
  <c r="H117" i="34" s="1"/>
  <c r="M117" i="34" s="1"/>
  <c r="B89" i="25"/>
  <c r="D89" i="25" s="1"/>
  <c r="D135" i="28"/>
  <c r="E135" i="28"/>
  <c r="J134" i="28"/>
  <c r="K134" i="28"/>
  <c r="E117" i="34"/>
  <c r="G135" i="28"/>
  <c r="I134" i="28"/>
  <c r="H134" i="28"/>
  <c r="B135" i="28"/>
  <c r="A119" i="34"/>
  <c r="C135" i="28"/>
  <c r="A136" i="28"/>
  <c r="D52" i="36" l="1"/>
  <c r="B52" i="36" s="1"/>
  <c r="E52" i="36"/>
  <c r="F52" i="36" s="1"/>
  <c r="G52" i="36" s="1"/>
  <c r="C53" i="36" s="1"/>
  <c r="O119" i="34"/>
  <c r="D119" i="34"/>
  <c r="C119" i="34"/>
  <c r="B119" i="34"/>
  <c r="I119" i="34"/>
  <c r="K119" i="34" s="1"/>
  <c r="F119" i="34"/>
  <c r="G118" i="34"/>
  <c r="H118" i="34" s="1"/>
  <c r="M118" i="34" s="1"/>
  <c r="B90" i="25"/>
  <c r="D90" i="25" s="1"/>
  <c r="J135" i="28"/>
  <c r="K135" i="28"/>
  <c r="D136" i="28"/>
  <c r="E136" i="28"/>
  <c r="G136" i="28"/>
  <c r="I135" i="28"/>
  <c r="H135" i="28"/>
  <c r="B136" i="28"/>
  <c r="A120" i="34"/>
  <c r="E118" i="34"/>
  <c r="A137" i="28"/>
  <c r="C136" i="28"/>
  <c r="E53" i="36" l="1"/>
  <c r="F53" i="36" s="1"/>
  <c r="G53" i="36" s="1"/>
  <c r="C54" i="36" s="1"/>
  <c r="D53" i="36"/>
  <c r="B53" i="36" s="1"/>
  <c r="O120" i="34"/>
  <c r="D120" i="34"/>
  <c r="C120" i="34"/>
  <c r="B120" i="34"/>
  <c r="I120" i="34"/>
  <c r="K120" i="34" s="1"/>
  <c r="F120" i="34"/>
  <c r="G119" i="34"/>
  <c r="H119" i="34" s="1"/>
  <c r="M119" i="34" s="1"/>
  <c r="B91" i="25"/>
  <c r="D91" i="25" s="1"/>
  <c r="D137" i="28"/>
  <c r="E137" i="28"/>
  <c r="J136" i="28"/>
  <c r="K136" i="28"/>
  <c r="E119" i="34"/>
  <c r="G137" i="28"/>
  <c r="I136" i="28"/>
  <c r="H136" i="28"/>
  <c r="B137" i="28"/>
  <c r="A121" i="34"/>
  <c r="C137" i="28"/>
  <c r="A138" i="28"/>
  <c r="D54" i="36" l="1"/>
  <c r="B54" i="36" s="1"/>
  <c r="E54" i="36"/>
  <c r="F54" i="36" s="1"/>
  <c r="G54" i="36" s="1"/>
  <c r="C55" i="36" s="1"/>
  <c r="O121" i="34"/>
  <c r="D121" i="34"/>
  <c r="C121" i="34"/>
  <c r="B121" i="34"/>
  <c r="I121" i="34"/>
  <c r="K121" i="34" s="1"/>
  <c r="F121" i="34"/>
  <c r="G120" i="34"/>
  <c r="H120" i="34" s="1"/>
  <c r="M120" i="34" s="1"/>
  <c r="B92" i="25"/>
  <c r="D92" i="25" s="1"/>
  <c r="D138" i="28"/>
  <c r="E138" i="28"/>
  <c r="J137" i="28"/>
  <c r="K137" i="28"/>
  <c r="G138" i="28"/>
  <c r="I137" i="28"/>
  <c r="H137" i="28"/>
  <c r="B138" i="28"/>
  <c r="A122" i="34"/>
  <c r="E120" i="34"/>
  <c r="A139" i="28"/>
  <c r="C138" i="28"/>
  <c r="E55" i="36" l="1"/>
  <c r="F55" i="36" s="1"/>
  <c r="G55" i="36" s="1"/>
  <c r="C56" i="36" s="1"/>
  <c r="D55" i="36"/>
  <c r="B55" i="36" s="1"/>
  <c r="O122" i="34"/>
  <c r="D122" i="34"/>
  <c r="C122" i="34"/>
  <c r="B122" i="34"/>
  <c r="I122" i="34"/>
  <c r="K122" i="34" s="1"/>
  <c r="F122" i="34"/>
  <c r="G121" i="34"/>
  <c r="H121" i="34" s="1"/>
  <c r="M121" i="34" s="1"/>
  <c r="B93" i="25"/>
  <c r="D93" i="25" s="1"/>
  <c r="D139" i="28"/>
  <c r="E139" i="28"/>
  <c r="J138" i="28"/>
  <c r="K138" i="28"/>
  <c r="E121" i="34"/>
  <c r="G139" i="28"/>
  <c r="I138" i="28"/>
  <c r="H138" i="28"/>
  <c r="B139" i="28"/>
  <c r="A123" i="34"/>
  <c r="C139" i="28"/>
  <c r="A140" i="28"/>
  <c r="E56" i="36" l="1"/>
  <c r="F56" i="36" s="1"/>
  <c r="G56" i="36" s="1"/>
  <c r="C57" i="36" s="1"/>
  <c r="D56" i="36"/>
  <c r="B56" i="36" s="1"/>
  <c r="O123" i="34"/>
  <c r="D123" i="34"/>
  <c r="C123" i="34"/>
  <c r="B123" i="34"/>
  <c r="I123" i="34"/>
  <c r="K123" i="34" s="1"/>
  <c r="F123" i="34"/>
  <c r="G122" i="34"/>
  <c r="H122" i="34" s="1"/>
  <c r="M122" i="34" s="1"/>
  <c r="B94" i="25"/>
  <c r="D94" i="25" s="1"/>
  <c r="D140" i="28"/>
  <c r="E140" i="28"/>
  <c r="J139" i="28"/>
  <c r="K139" i="28"/>
  <c r="G140" i="28"/>
  <c r="I139" i="28"/>
  <c r="H139" i="28"/>
  <c r="B140" i="28"/>
  <c r="A124" i="34"/>
  <c r="E122" i="34"/>
  <c r="A141" i="28"/>
  <c r="C140" i="28"/>
  <c r="E57" i="36" l="1"/>
  <c r="F57" i="36" s="1"/>
  <c r="G57" i="36" s="1"/>
  <c r="C58" i="36" s="1"/>
  <c r="D57" i="36"/>
  <c r="B57" i="36" s="1"/>
  <c r="O124" i="34"/>
  <c r="D124" i="34"/>
  <c r="C124" i="34"/>
  <c r="B124" i="34"/>
  <c r="I124" i="34"/>
  <c r="K124" i="34" s="1"/>
  <c r="F124" i="34"/>
  <c r="G123" i="34"/>
  <c r="H123" i="34" s="1"/>
  <c r="M123" i="34" s="1"/>
  <c r="B95" i="25"/>
  <c r="D95" i="25" s="1"/>
  <c r="D141" i="28"/>
  <c r="E141" i="28"/>
  <c r="J140" i="28"/>
  <c r="K140" i="28"/>
  <c r="E123" i="34"/>
  <c r="G141" i="28"/>
  <c r="I140" i="28"/>
  <c r="H140" i="28"/>
  <c r="B141" i="28"/>
  <c r="A125" i="34"/>
  <c r="C141" i="28"/>
  <c r="A142" i="28"/>
  <c r="D58" i="36" l="1"/>
  <c r="B58" i="36" s="1"/>
  <c r="E58" i="36"/>
  <c r="F58" i="36" s="1"/>
  <c r="G58" i="36" s="1"/>
  <c r="C59" i="36" s="1"/>
  <c r="O125" i="34"/>
  <c r="D125" i="34"/>
  <c r="C125" i="34"/>
  <c r="B125" i="34"/>
  <c r="I125" i="34"/>
  <c r="K125" i="34" s="1"/>
  <c r="F125" i="34"/>
  <c r="G124" i="34"/>
  <c r="H124" i="34" s="1"/>
  <c r="M124" i="34" s="1"/>
  <c r="B96" i="25"/>
  <c r="D96" i="25" s="1"/>
  <c r="J141" i="28"/>
  <c r="K141" i="28"/>
  <c r="D142" i="28"/>
  <c r="E142" i="28"/>
  <c r="G142" i="28"/>
  <c r="I141" i="28"/>
  <c r="H141" i="28"/>
  <c r="B142" i="28"/>
  <c r="A126" i="34"/>
  <c r="E124" i="34"/>
  <c r="A143" i="28"/>
  <c r="C142" i="28"/>
  <c r="E59" i="36" l="1"/>
  <c r="F59" i="36" s="1"/>
  <c r="G59" i="36" s="1"/>
  <c r="C60" i="36" s="1"/>
  <c r="D59" i="36"/>
  <c r="B59" i="36" s="1"/>
  <c r="O126" i="34"/>
  <c r="D126" i="34"/>
  <c r="C126" i="34"/>
  <c r="B126" i="34"/>
  <c r="I126" i="34"/>
  <c r="K126" i="34" s="1"/>
  <c r="F126" i="34"/>
  <c r="G125" i="34"/>
  <c r="H125" i="34" s="1"/>
  <c r="M125" i="34" s="1"/>
  <c r="B97" i="25"/>
  <c r="D97" i="25" s="1"/>
  <c r="D143" i="28"/>
  <c r="E143" i="28"/>
  <c r="J142" i="28"/>
  <c r="K142" i="28"/>
  <c r="E125" i="34"/>
  <c r="G143" i="28"/>
  <c r="I142" i="28"/>
  <c r="H142" i="28"/>
  <c r="B143" i="28"/>
  <c r="C143" i="28"/>
  <c r="A144" i="28"/>
  <c r="D60" i="36" l="1"/>
  <c r="B60" i="36" s="1"/>
  <c r="E60" i="36"/>
  <c r="F60" i="36" s="1"/>
  <c r="G60" i="36" s="1"/>
  <c r="C61" i="36" s="1"/>
  <c r="G126" i="34"/>
  <c r="H126" i="34" s="1"/>
  <c r="M126" i="34" s="1"/>
  <c r="B98" i="25"/>
  <c r="D98" i="25" s="1"/>
  <c r="J143" i="28"/>
  <c r="K143" i="28"/>
  <c r="D144" i="28"/>
  <c r="E144" i="28"/>
  <c r="G144" i="28"/>
  <c r="I143" i="28"/>
  <c r="H143" i="28"/>
  <c r="B144" i="28"/>
  <c r="E126" i="34"/>
  <c r="A145" i="28"/>
  <c r="C144" i="28"/>
  <c r="E61" i="36" l="1"/>
  <c r="F61" i="36" s="1"/>
  <c r="G61" i="36" s="1"/>
  <c r="C62" i="36" s="1"/>
  <c r="D61" i="36"/>
  <c r="B61" i="36" s="1"/>
  <c r="B99" i="25"/>
  <c r="D99" i="25" s="1"/>
  <c r="D145" i="28"/>
  <c r="E145" i="28"/>
  <c r="J144" i="28"/>
  <c r="K144" i="28"/>
  <c r="G145" i="28"/>
  <c r="I144" i="28"/>
  <c r="H144" i="28"/>
  <c r="B145" i="28"/>
  <c r="C145" i="28"/>
  <c r="A146" i="28"/>
  <c r="E62" i="36" l="1"/>
  <c r="F62" i="36" s="1"/>
  <c r="G62" i="36" s="1"/>
  <c r="C63" i="36" s="1"/>
  <c r="D62" i="36"/>
  <c r="B62" i="36" s="1"/>
  <c r="B100" i="25"/>
  <c r="D100" i="25" s="1"/>
  <c r="D146" i="28"/>
  <c r="E146" i="28"/>
  <c r="J145" i="28"/>
  <c r="K145" i="28"/>
  <c r="G146" i="28"/>
  <c r="I145" i="28"/>
  <c r="H145" i="28"/>
  <c r="B146" i="28"/>
  <c r="A147" i="28"/>
  <c r="C146" i="28"/>
  <c r="E63" i="36" l="1"/>
  <c r="F63" i="36" s="1"/>
  <c r="G63" i="36" s="1"/>
  <c r="C64" i="36" s="1"/>
  <c r="D63" i="36"/>
  <c r="B63" i="36" s="1"/>
  <c r="B101" i="25"/>
  <c r="D101" i="25" s="1"/>
  <c r="D147" i="28"/>
  <c r="E147" i="28"/>
  <c r="J146" i="28"/>
  <c r="K146" i="28"/>
  <c r="G147" i="28"/>
  <c r="I146" i="28"/>
  <c r="H146" i="28"/>
  <c r="B147" i="28"/>
  <c r="D47" i="28"/>
  <c r="B47" i="28"/>
  <c r="C147" i="28"/>
  <c r="C47" i="28" s="1"/>
  <c r="A148" i="28"/>
  <c r="B148" i="28" s="1"/>
  <c r="E64" i="36" l="1"/>
  <c r="F64" i="36" s="1"/>
  <c r="G64" i="36" s="1"/>
  <c r="C65" i="36" s="1"/>
  <c r="D64" i="36"/>
  <c r="B64" i="36" s="1"/>
  <c r="B102" i="25"/>
  <c r="D102" i="25" s="1"/>
  <c r="J147" i="28"/>
  <c r="K147" i="28"/>
  <c r="J47" i="28"/>
  <c r="I147" i="28"/>
  <c r="I47" i="28" s="1"/>
  <c r="H147" i="28"/>
  <c r="A51" i="28"/>
  <c r="A52" i="28"/>
  <c r="A149" i="28"/>
  <c r="C148" i="28"/>
  <c r="E65" i="36" l="1"/>
  <c r="F65" i="36" s="1"/>
  <c r="G65" i="36" s="1"/>
  <c r="C66" i="36" s="1"/>
  <c r="D65" i="36"/>
  <c r="B65" i="36" s="1"/>
  <c r="B103" i="25"/>
  <c r="D103" i="25" s="1"/>
  <c r="P43" i="28"/>
  <c r="N44" i="28"/>
  <c r="H47" i="28"/>
  <c r="G52" i="28"/>
  <c r="G51" i="28"/>
  <c r="A150" i="28"/>
  <c r="B150" i="28" s="1"/>
  <c r="B149" i="28"/>
  <c r="C149" i="28"/>
  <c r="D66" i="36" l="1"/>
  <c r="B66" i="36" s="1"/>
  <c r="E66" i="36"/>
  <c r="F66" i="36" s="1"/>
  <c r="G66" i="36" s="1"/>
  <c r="C67" i="36" s="1"/>
  <c r="W60" i="28"/>
  <c r="W52" i="28"/>
  <c r="W44" i="28"/>
  <c r="W36" i="28"/>
  <c r="W57" i="28"/>
  <c r="W49" i="28"/>
  <c r="W41" i="28"/>
  <c r="W58" i="28"/>
  <c r="W50" i="28"/>
  <c r="W42" i="28"/>
  <c r="W59" i="28"/>
  <c r="W51" i="28"/>
  <c r="W43" i="28"/>
  <c r="K65" i="28" s="1"/>
  <c r="B21" i="25" s="1"/>
  <c r="D21" i="25" s="1"/>
  <c r="W56" i="28"/>
  <c r="W48" i="28"/>
  <c r="K70" i="28" s="1"/>
  <c r="B26" i="25" s="1"/>
  <c r="D26" i="25" s="1"/>
  <c r="W40" i="28"/>
  <c r="W61" i="28"/>
  <c r="W53" i="28"/>
  <c r="W45" i="28"/>
  <c r="W37" i="28"/>
  <c r="W62" i="28"/>
  <c r="W54" i="28"/>
  <c r="W46" i="28"/>
  <c r="W38" i="28"/>
  <c r="W55" i="28"/>
  <c r="W47" i="28"/>
  <c r="W39" i="28"/>
  <c r="K61" i="28" s="1"/>
  <c r="B17" i="25" s="1"/>
  <c r="D17" i="25" s="1"/>
  <c r="V58" i="28"/>
  <c r="V42" i="28"/>
  <c r="V53" i="28"/>
  <c r="V37" i="28"/>
  <c r="V48" i="28"/>
  <c r="V55" i="28"/>
  <c r="V39" i="28"/>
  <c r="V62" i="28"/>
  <c r="V46" i="28"/>
  <c r="V57" i="28"/>
  <c r="V41" i="28"/>
  <c r="V52" i="28"/>
  <c r="V36" i="28"/>
  <c r="V51" i="28"/>
  <c r="V50" i="28"/>
  <c r="V61" i="28"/>
  <c r="V45" i="28"/>
  <c r="V56" i="28"/>
  <c r="V40" i="28"/>
  <c r="E62" i="28" s="1"/>
  <c r="V47" i="28"/>
  <c r="E69" i="28" s="1"/>
  <c r="V54" i="28"/>
  <c r="V38" i="28"/>
  <c r="E60" i="28" s="1"/>
  <c r="V49" i="28"/>
  <c r="V60" i="28"/>
  <c r="V44" i="28"/>
  <c r="V59" i="28"/>
  <c r="V43" i="28"/>
  <c r="E67" i="36" l="1"/>
  <c r="F67" i="36" s="1"/>
  <c r="G67" i="36" s="1"/>
  <c r="C68" i="36" s="1"/>
  <c r="D67" i="36"/>
  <c r="B67" i="36" s="1"/>
  <c r="E65" i="28"/>
  <c r="E66" i="28"/>
  <c r="E71" i="28"/>
  <c r="E67" i="28"/>
  <c r="K62" i="28"/>
  <c r="B18" i="25" s="1"/>
  <c r="D18" i="25" s="1"/>
  <c r="K68" i="28"/>
  <c r="B24" i="25" s="1"/>
  <c r="D24" i="25" s="1"/>
  <c r="K72" i="28"/>
  <c r="B28" i="25" s="1"/>
  <c r="D28" i="25" s="1"/>
  <c r="K63" i="28"/>
  <c r="B19" i="25" s="1"/>
  <c r="D19" i="25" s="1"/>
  <c r="E79" i="28"/>
  <c r="E80" i="28"/>
  <c r="E72" i="28"/>
  <c r="E57" i="28"/>
  <c r="E58" i="28"/>
  <c r="E63" i="28"/>
  <c r="E68" i="28"/>
  <c r="E61" i="28"/>
  <c r="E70" i="28"/>
  <c r="E77" i="28"/>
  <c r="E78" i="28"/>
  <c r="E87" i="28"/>
  <c r="E88" i="28"/>
  <c r="E89" i="28"/>
  <c r="E90" i="28"/>
  <c r="E91" i="28"/>
  <c r="K69" i="28"/>
  <c r="B25" i="25" s="1"/>
  <c r="D25" i="25" s="1"/>
  <c r="K60" i="28"/>
  <c r="B16" i="25" s="1"/>
  <c r="D16" i="25" s="1"/>
  <c r="K79" i="28"/>
  <c r="B35" i="25" s="1"/>
  <c r="D35" i="25" s="1"/>
  <c r="K80" i="28"/>
  <c r="B36" i="25" s="1"/>
  <c r="D36" i="25" s="1"/>
  <c r="K59" i="28"/>
  <c r="B15" i="25" s="1"/>
  <c r="D15" i="25" s="1"/>
  <c r="K77" i="28"/>
  <c r="B33" i="25" s="1"/>
  <c r="D33" i="25" s="1"/>
  <c r="K78" i="28"/>
  <c r="B34" i="25" s="1"/>
  <c r="D34" i="25" s="1"/>
  <c r="K83" i="28"/>
  <c r="B39" i="25" s="1"/>
  <c r="D39" i="25" s="1"/>
  <c r="K84" i="28"/>
  <c r="B40" i="25" s="1"/>
  <c r="D40" i="25" s="1"/>
  <c r="K74" i="28"/>
  <c r="B30" i="25" s="1"/>
  <c r="D30" i="25" s="1"/>
  <c r="K73" i="28"/>
  <c r="B29" i="25" s="1"/>
  <c r="D29" i="25" s="1"/>
  <c r="K64" i="28"/>
  <c r="B20" i="25" s="1"/>
  <c r="D20" i="25" s="1"/>
  <c r="K87" i="28"/>
  <c r="B43" i="25" s="1"/>
  <c r="D43" i="25" s="1"/>
  <c r="K88" i="28"/>
  <c r="B44" i="25" s="1"/>
  <c r="D44" i="25" s="1"/>
  <c r="K89" i="28"/>
  <c r="B45" i="25" s="1"/>
  <c r="D45" i="25" s="1"/>
  <c r="K90" i="28"/>
  <c r="B46" i="25" s="1"/>
  <c r="D46" i="25" s="1"/>
  <c r="K91" i="28"/>
  <c r="B47" i="25" s="1"/>
  <c r="D47" i="25" s="1"/>
  <c r="K71" i="28"/>
  <c r="B27" i="25" s="1"/>
  <c r="D27" i="25" s="1"/>
  <c r="K58" i="28"/>
  <c r="B14" i="25" s="1"/>
  <c r="D14" i="25" s="1"/>
  <c r="K57" i="28"/>
  <c r="B13" i="25" s="1"/>
  <c r="D13" i="25" s="1"/>
  <c r="K75" i="28"/>
  <c r="B31" i="25" s="1"/>
  <c r="D31" i="25" s="1"/>
  <c r="K76" i="28"/>
  <c r="B32" i="25" s="1"/>
  <c r="D32" i="25" s="1"/>
  <c r="E92" i="28"/>
  <c r="E93" i="28"/>
  <c r="E94" i="28"/>
  <c r="E95" i="28"/>
  <c r="E96" i="28"/>
  <c r="E97" i="28"/>
  <c r="E98" i="28"/>
  <c r="E99" i="28"/>
  <c r="E100" i="28"/>
  <c r="E101" i="28"/>
  <c r="E83" i="28"/>
  <c r="E84" i="28"/>
  <c r="E102" i="28"/>
  <c r="E103" i="28"/>
  <c r="E105" i="28"/>
  <c r="E104" i="28"/>
  <c r="E106" i="28"/>
  <c r="E73" i="28"/>
  <c r="E74" i="28"/>
  <c r="E75" i="28"/>
  <c r="E76" i="28"/>
  <c r="E85" i="28"/>
  <c r="E86" i="28"/>
  <c r="E81" i="28"/>
  <c r="E82" i="28"/>
  <c r="E59" i="28"/>
  <c r="E64" i="28"/>
  <c r="K81" i="28"/>
  <c r="B37" i="25" s="1"/>
  <c r="D37" i="25" s="1"/>
  <c r="K82" i="28"/>
  <c r="B38" i="25" s="1"/>
  <c r="D38" i="25" s="1"/>
  <c r="K67" i="28"/>
  <c r="B23" i="25" s="1"/>
  <c r="D23" i="25" s="1"/>
  <c r="K102" i="28"/>
  <c r="B58" i="25" s="1"/>
  <c r="D58" i="25" s="1"/>
  <c r="K103" i="28"/>
  <c r="B59" i="25" s="1"/>
  <c r="D59" i="25" s="1"/>
  <c r="K104" i="28"/>
  <c r="B60" i="25" s="1"/>
  <c r="D60" i="25" s="1"/>
  <c r="K105" i="28"/>
  <c r="B61" i="25" s="1"/>
  <c r="D61" i="25" s="1"/>
  <c r="K106" i="28"/>
  <c r="B62" i="25" s="1"/>
  <c r="D62" i="25" s="1"/>
  <c r="K92" i="28"/>
  <c r="B48" i="25" s="1"/>
  <c r="D48" i="25" s="1"/>
  <c r="K93" i="28"/>
  <c r="B49" i="25" s="1"/>
  <c r="D49" i="25" s="1"/>
  <c r="K94" i="28"/>
  <c r="B50" i="25" s="1"/>
  <c r="D50" i="25" s="1"/>
  <c r="K95" i="28"/>
  <c r="B51" i="25" s="1"/>
  <c r="D51" i="25" s="1"/>
  <c r="K96" i="28"/>
  <c r="B52" i="25" s="1"/>
  <c r="D52" i="25" s="1"/>
  <c r="K85" i="28"/>
  <c r="B41" i="25" s="1"/>
  <c r="D41" i="25" s="1"/>
  <c r="K86" i="28"/>
  <c r="B42" i="25" s="1"/>
  <c r="D42" i="25" s="1"/>
  <c r="K66" i="28"/>
  <c r="B22" i="25" s="1"/>
  <c r="D22" i="25" s="1"/>
  <c r="K97" i="28"/>
  <c r="B53" i="25" s="1"/>
  <c r="D53" i="25" s="1"/>
  <c r="K98" i="28"/>
  <c r="B54" i="25" s="1"/>
  <c r="D54" i="25" s="1"/>
  <c r="K99" i="28"/>
  <c r="B55" i="25" s="1"/>
  <c r="D55" i="25" s="1"/>
  <c r="K100" i="28"/>
  <c r="B56" i="25" s="1"/>
  <c r="D56" i="25" s="1"/>
  <c r="K101" i="28"/>
  <c r="B57" i="25" s="1"/>
  <c r="D57" i="25" s="1"/>
  <c r="D68" i="36" l="1"/>
  <c r="B68" i="36" s="1"/>
  <c r="E68" i="36"/>
  <c r="F68" i="36" s="1"/>
  <c r="G68" i="36" s="1"/>
  <c r="C69" i="36" s="1"/>
  <c r="K47" i="28"/>
  <c r="E47" i="28"/>
  <c r="C27" i="30"/>
  <c r="K13" i="25"/>
  <c r="L13" i="25" s="1"/>
  <c r="E69" i="36" l="1"/>
  <c r="F69" i="36" s="1"/>
  <c r="G69" i="36" s="1"/>
  <c r="C70" i="36" s="1"/>
  <c r="D69" i="36"/>
  <c r="B69" i="36" s="1"/>
  <c r="F14" i="25"/>
  <c r="D70" i="36" l="1"/>
  <c r="B70" i="36" s="1"/>
  <c r="E70" i="36"/>
  <c r="F70" i="36" s="1"/>
  <c r="G70" i="36" s="1"/>
  <c r="C71" i="36" s="1"/>
  <c r="G14" i="25"/>
  <c r="I14" i="25"/>
  <c r="K14" i="25" s="1"/>
  <c r="L14" i="25" s="1"/>
  <c r="E71" i="36" l="1"/>
  <c r="F71" i="36" s="1"/>
  <c r="G71" i="36" s="1"/>
  <c r="C72" i="36" s="1"/>
  <c r="D71" i="36"/>
  <c r="B71" i="36" s="1"/>
  <c r="F15" i="25"/>
  <c r="D72" i="36" l="1"/>
  <c r="B72" i="36" s="1"/>
  <c r="E72" i="36"/>
  <c r="F72" i="36" s="1"/>
  <c r="G72" i="36" s="1"/>
  <c r="C73" i="36" s="1"/>
  <c r="G15" i="25"/>
  <c r="I15" i="25"/>
  <c r="K15" i="25" s="1"/>
  <c r="L15" i="25" s="1"/>
  <c r="E73" i="36" l="1"/>
  <c r="F73" i="36" s="1"/>
  <c r="G73" i="36" s="1"/>
  <c r="C74" i="36" s="1"/>
  <c r="D73" i="36"/>
  <c r="B73" i="36" s="1"/>
  <c r="F16" i="25"/>
  <c r="E74" i="36" l="1"/>
  <c r="F74" i="36" s="1"/>
  <c r="G74" i="36" s="1"/>
  <c r="C75" i="36" s="1"/>
  <c r="D74" i="36"/>
  <c r="B74" i="36" s="1"/>
  <c r="G16" i="25"/>
  <c r="I16" i="25"/>
  <c r="K16" i="25" s="1"/>
  <c r="L16" i="25" s="1"/>
  <c r="E75" i="36" l="1"/>
  <c r="F75" i="36" s="1"/>
  <c r="G75" i="36" s="1"/>
  <c r="C76" i="36" s="1"/>
  <c r="D75" i="36"/>
  <c r="B75" i="36" s="1"/>
  <c r="F17" i="25"/>
  <c r="D76" i="36" l="1"/>
  <c r="B76" i="36" s="1"/>
  <c r="E76" i="36"/>
  <c r="F76" i="36" s="1"/>
  <c r="G76" i="36" s="1"/>
  <c r="C77" i="36" s="1"/>
  <c r="G17" i="25"/>
  <c r="I17" i="25"/>
  <c r="K17" i="25" s="1"/>
  <c r="L17" i="25" s="1"/>
  <c r="E77" i="36" l="1"/>
  <c r="F77" i="36" s="1"/>
  <c r="G77" i="36" s="1"/>
  <c r="C78" i="36" s="1"/>
  <c r="D77" i="36"/>
  <c r="B77" i="36" s="1"/>
  <c r="F18" i="25"/>
  <c r="D78" i="36" l="1"/>
  <c r="B78" i="36" s="1"/>
  <c r="E78" i="36"/>
  <c r="F78" i="36" s="1"/>
  <c r="G78" i="36" s="1"/>
  <c r="C79" i="36" s="1"/>
  <c r="G18" i="25"/>
  <c r="I18" i="25"/>
  <c r="K18" i="25" s="1"/>
  <c r="L18" i="25" s="1"/>
  <c r="F19" i="25" s="1"/>
  <c r="E79" i="36" l="1"/>
  <c r="F79" i="36" s="1"/>
  <c r="G79" i="36" s="1"/>
  <c r="C80" i="36" s="1"/>
  <c r="D79" i="36"/>
  <c r="B79" i="36" s="1"/>
  <c r="G19" i="25"/>
  <c r="I19" i="25"/>
  <c r="K19" i="25" s="1"/>
  <c r="L19" i="25" s="1"/>
  <c r="F20" i="25" s="1"/>
  <c r="D80" i="36" l="1"/>
  <c r="B80" i="36" s="1"/>
  <c r="E80" i="36"/>
  <c r="F80" i="36" s="1"/>
  <c r="G80" i="36" s="1"/>
  <c r="C81" i="36" s="1"/>
  <c r="G20" i="25"/>
  <c r="I20" i="25"/>
  <c r="K20" i="25" s="1"/>
  <c r="L20" i="25" s="1"/>
  <c r="F21" i="25" s="1"/>
  <c r="E81" i="36" l="1"/>
  <c r="F81" i="36" s="1"/>
  <c r="G81" i="36" s="1"/>
  <c r="C82" i="36" s="1"/>
  <c r="D81" i="36"/>
  <c r="B81" i="36" s="1"/>
  <c r="G21" i="25"/>
  <c r="I21" i="25"/>
  <c r="K21" i="25" s="1"/>
  <c r="L21" i="25" s="1"/>
  <c r="F22" i="25" s="1"/>
  <c r="E82" i="36" l="1"/>
  <c r="F82" i="36" s="1"/>
  <c r="G82" i="36" s="1"/>
  <c r="C83" i="36" s="1"/>
  <c r="D82" i="36"/>
  <c r="B82" i="36" s="1"/>
  <c r="G22" i="25"/>
  <c r="I22" i="25"/>
  <c r="K22" i="25" s="1"/>
  <c r="L22" i="25" s="1"/>
  <c r="F23" i="25" s="1"/>
  <c r="E83" i="36" l="1"/>
  <c r="F83" i="36" s="1"/>
  <c r="G83" i="36" s="1"/>
  <c r="C84" i="36" s="1"/>
  <c r="D83" i="36"/>
  <c r="B83" i="36" s="1"/>
  <c r="G23" i="25"/>
  <c r="I23" i="25"/>
  <c r="K23" i="25" s="1"/>
  <c r="L23" i="25" s="1"/>
  <c r="F24" i="25" s="1"/>
  <c r="D84" i="36" l="1"/>
  <c r="B84" i="36" s="1"/>
  <c r="E84" i="36"/>
  <c r="F84" i="36" s="1"/>
  <c r="G84" i="36" s="1"/>
  <c r="C85" i="36" s="1"/>
  <c r="G24" i="25"/>
  <c r="I24" i="25"/>
  <c r="K24" i="25" s="1"/>
  <c r="L24" i="25" s="1"/>
  <c r="F25" i="25" s="1"/>
  <c r="E85" i="36" l="1"/>
  <c r="F85" i="36" s="1"/>
  <c r="G85" i="36" s="1"/>
  <c r="C86" i="36" s="1"/>
  <c r="D85" i="36"/>
  <c r="B85" i="36" s="1"/>
  <c r="G25" i="25"/>
  <c r="I25" i="25"/>
  <c r="K25" i="25" s="1"/>
  <c r="L25" i="25" s="1"/>
  <c r="F26" i="25" s="1"/>
  <c r="D86" i="36" l="1"/>
  <c r="B86" i="36" s="1"/>
  <c r="E86" i="36"/>
  <c r="F86" i="36" s="1"/>
  <c r="G86" i="36" s="1"/>
  <c r="C87" i="36" s="1"/>
  <c r="G26" i="25"/>
  <c r="I26" i="25"/>
  <c r="K26" i="25" s="1"/>
  <c r="L26" i="25" s="1"/>
  <c r="F27" i="25" s="1"/>
  <c r="E87" i="36" l="1"/>
  <c r="F87" i="36" s="1"/>
  <c r="G87" i="36" s="1"/>
  <c r="C88" i="36" s="1"/>
  <c r="D87" i="36"/>
  <c r="B87" i="36" s="1"/>
  <c r="G27" i="25"/>
  <c r="I27" i="25"/>
  <c r="K27" i="25" s="1"/>
  <c r="L27" i="25" s="1"/>
  <c r="F28" i="25" s="1"/>
  <c r="D88" i="36" l="1"/>
  <c r="B88" i="36" s="1"/>
  <c r="E88" i="36"/>
  <c r="F88" i="36" s="1"/>
  <c r="G88" i="36" s="1"/>
  <c r="C89" i="36" s="1"/>
  <c r="G28" i="25"/>
  <c r="I28" i="25"/>
  <c r="K28" i="25" s="1"/>
  <c r="L28" i="25" s="1"/>
  <c r="F29" i="25" s="1"/>
  <c r="E89" i="36" l="1"/>
  <c r="F89" i="36" s="1"/>
  <c r="G89" i="36" s="1"/>
  <c r="C90" i="36" s="1"/>
  <c r="D89" i="36"/>
  <c r="B89" i="36" s="1"/>
  <c r="G29" i="25"/>
  <c r="I29" i="25"/>
  <c r="K29" i="25" s="1"/>
  <c r="L29" i="25" s="1"/>
  <c r="F30" i="25" s="1"/>
  <c r="D90" i="36" l="1"/>
  <c r="B90" i="36" s="1"/>
  <c r="E90" i="36"/>
  <c r="F90" i="36" s="1"/>
  <c r="G90" i="36" s="1"/>
  <c r="C91" i="36" s="1"/>
  <c r="G30" i="25"/>
  <c r="I30" i="25"/>
  <c r="K30" i="25" s="1"/>
  <c r="L30" i="25" s="1"/>
  <c r="F31" i="25" s="1"/>
  <c r="E91" i="36" l="1"/>
  <c r="F91" i="36" s="1"/>
  <c r="G91" i="36" s="1"/>
  <c r="C92" i="36" s="1"/>
  <c r="D91" i="36"/>
  <c r="B91" i="36" s="1"/>
  <c r="G31" i="25"/>
  <c r="I31" i="25"/>
  <c r="K31" i="25" s="1"/>
  <c r="L31" i="25" s="1"/>
  <c r="F32" i="25" s="1"/>
  <c r="D92" i="36" l="1"/>
  <c r="B92" i="36" s="1"/>
  <c r="E92" i="36"/>
  <c r="F92" i="36" s="1"/>
  <c r="G92" i="36" s="1"/>
  <c r="C93" i="36" s="1"/>
  <c r="G32" i="25"/>
  <c r="I32" i="25"/>
  <c r="K32" i="25" s="1"/>
  <c r="L32" i="25" s="1"/>
  <c r="F33" i="25" s="1"/>
  <c r="E93" i="36" l="1"/>
  <c r="F93" i="36" s="1"/>
  <c r="G93" i="36" s="1"/>
  <c r="C94" i="36" s="1"/>
  <c r="D93" i="36"/>
  <c r="B93" i="36" s="1"/>
  <c r="G33" i="25"/>
  <c r="I33" i="25"/>
  <c r="K33" i="25" s="1"/>
  <c r="L33" i="25" s="1"/>
  <c r="F34" i="25" s="1"/>
  <c r="D94" i="36" l="1"/>
  <c r="B94" i="36" s="1"/>
  <c r="E94" i="36"/>
  <c r="F94" i="36" s="1"/>
  <c r="G94" i="36" s="1"/>
  <c r="C95" i="36" s="1"/>
  <c r="G34" i="25"/>
  <c r="I34" i="25"/>
  <c r="K34" i="25" s="1"/>
  <c r="L34" i="25" s="1"/>
  <c r="F35" i="25" s="1"/>
  <c r="E95" i="36" l="1"/>
  <c r="F95" i="36" s="1"/>
  <c r="G95" i="36" s="1"/>
  <c r="C96" i="36" s="1"/>
  <c r="D95" i="36"/>
  <c r="B95" i="36" s="1"/>
  <c r="G35" i="25"/>
  <c r="I35" i="25"/>
  <c r="K35" i="25" s="1"/>
  <c r="L35" i="25" s="1"/>
  <c r="F36" i="25" s="1"/>
  <c r="E96" i="36" l="1"/>
  <c r="F96" i="36" s="1"/>
  <c r="G96" i="36" s="1"/>
  <c r="D96" i="36"/>
  <c r="B96" i="36" s="1"/>
  <c r="C97" i="36"/>
  <c r="G36" i="25"/>
  <c r="I36" i="25"/>
  <c r="K36" i="25" s="1"/>
  <c r="L36" i="25" s="1"/>
  <c r="F37" i="25" s="1"/>
  <c r="E97" i="36" l="1"/>
  <c r="F97" i="36" s="1"/>
  <c r="G97" i="36" s="1"/>
  <c r="C98" i="36" s="1"/>
  <c r="D97" i="36"/>
  <c r="B97" i="36" s="1"/>
  <c r="G37" i="25"/>
  <c r="I37" i="25"/>
  <c r="K37" i="25" s="1"/>
  <c r="L37" i="25" s="1"/>
  <c r="F38" i="25" s="1"/>
  <c r="D98" i="36" l="1"/>
  <c r="B98" i="36" s="1"/>
  <c r="E98" i="36"/>
  <c r="F98" i="36" s="1"/>
  <c r="G98" i="36" s="1"/>
  <c r="C99" i="36" s="1"/>
  <c r="G38" i="25"/>
  <c r="I38" i="25"/>
  <c r="K38" i="25" s="1"/>
  <c r="L38" i="25" s="1"/>
  <c r="F39" i="25" s="1"/>
  <c r="E99" i="36" l="1"/>
  <c r="F99" i="36" s="1"/>
  <c r="G99" i="36" s="1"/>
  <c r="C100" i="36" s="1"/>
  <c r="D99" i="36"/>
  <c r="B99" i="36" s="1"/>
  <c r="G39" i="25"/>
  <c r="I39" i="25"/>
  <c r="K39" i="25" s="1"/>
  <c r="L39" i="25" s="1"/>
  <c r="F40" i="25" s="1"/>
  <c r="D100" i="36" l="1"/>
  <c r="B100" i="36" s="1"/>
  <c r="E100" i="36"/>
  <c r="F100" i="36" s="1"/>
  <c r="G100" i="36" s="1"/>
  <c r="C101" i="36" s="1"/>
  <c r="G40" i="25"/>
  <c r="I40" i="25"/>
  <c r="K40" i="25" s="1"/>
  <c r="L40" i="25" s="1"/>
  <c r="F41" i="25" s="1"/>
  <c r="E101" i="36" l="1"/>
  <c r="F101" i="36" s="1"/>
  <c r="G101" i="36" s="1"/>
  <c r="C102" i="36" s="1"/>
  <c r="D101" i="36"/>
  <c r="B101" i="36" s="1"/>
  <c r="G41" i="25"/>
  <c r="I41" i="25"/>
  <c r="K41" i="25" s="1"/>
  <c r="L41" i="25" s="1"/>
  <c r="F42" i="25" s="1"/>
  <c r="D102" i="36" l="1"/>
  <c r="B102" i="36" s="1"/>
  <c r="E102" i="36"/>
  <c r="F102" i="36" s="1"/>
  <c r="G102" i="36" s="1"/>
  <c r="C103" i="36" s="1"/>
  <c r="G42" i="25"/>
  <c r="I42" i="25"/>
  <c r="K42" i="25" s="1"/>
  <c r="L42" i="25" s="1"/>
  <c r="F43" i="25" s="1"/>
  <c r="D103" i="36" l="1"/>
  <c r="B103" i="36" s="1"/>
  <c r="E103" i="36"/>
  <c r="F103" i="36" s="1"/>
  <c r="G103" i="36" s="1"/>
  <c r="C104" i="36" s="1"/>
  <c r="G43" i="25"/>
  <c r="I43" i="25"/>
  <c r="K43" i="25" s="1"/>
  <c r="L43" i="25" s="1"/>
  <c r="F44" i="25" s="1"/>
  <c r="D104" i="36" l="1"/>
  <c r="B104" i="36" s="1"/>
  <c r="E104" i="36"/>
  <c r="F104" i="36" s="1"/>
  <c r="G104" i="36" s="1"/>
  <c r="C105" i="36" s="1"/>
  <c r="G44" i="25"/>
  <c r="I44" i="25"/>
  <c r="K44" i="25" s="1"/>
  <c r="L44" i="25" s="1"/>
  <c r="F45" i="25" s="1"/>
  <c r="D105" i="36" l="1"/>
  <c r="B105" i="36" s="1"/>
  <c r="E105" i="36"/>
  <c r="F105" i="36" s="1"/>
  <c r="G105" i="36" s="1"/>
  <c r="C106" i="36" s="1"/>
  <c r="G45" i="25"/>
  <c r="I45" i="25"/>
  <c r="K45" i="25" s="1"/>
  <c r="L45" i="25" s="1"/>
  <c r="F46" i="25" s="1"/>
  <c r="D106" i="36" l="1"/>
  <c r="B106" i="36" s="1"/>
  <c r="E106" i="36"/>
  <c r="F106" i="36" s="1"/>
  <c r="G106" i="36" s="1"/>
  <c r="C107" i="36" s="1"/>
  <c r="G46" i="25"/>
  <c r="I46" i="25"/>
  <c r="K46" i="25" s="1"/>
  <c r="L46" i="25" s="1"/>
  <c r="F47" i="25" s="1"/>
  <c r="E107" i="36" l="1"/>
  <c r="F107" i="36" s="1"/>
  <c r="G107" i="36" s="1"/>
  <c r="C108" i="36" s="1"/>
  <c r="D107" i="36"/>
  <c r="B107" i="36" s="1"/>
  <c r="G47" i="25"/>
  <c r="I47" i="25"/>
  <c r="K47" i="25" s="1"/>
  <c r="L47" i="25" s="1"/>
  <c r="F48" i="25" s="1"/>
  <c r="D108" i="36" l="1"/>
  <c r="B108" i="36" s="1"/>
  <c r="E108" i="36"/>
  <c r="F108" i="36" s="1"/>
  <c r="G108" i="36" s="1"/>
  <c r="C109" i="36" s="1"/>
  <c r="G48" i="25"/>
  <c r="I48" i="25"/>
  <c r="K48" i="25" s="1"/>
  <c r="L48" i="25" s="1"/>
  <c r="F49" i="25" s="1"/>
  <c r="E109" i="36" l="1"/>
  <c r="F109" i="36" s="1"/>
  <c r="G109" i="36" s="1"/>
  <c r="C110" i="36" s="1"/>
  <c r="D109" i="36"/>
  <c r="B109" i="36" s="1"/>
  <c r="G49" i="25"/>
  <c r="I49" i="25"/>
  <c r="K49" i="25" s="1"/>
  <c r="L49" i="25" s="1"/>
  <c r="F50" i="25" s="1"/>
  <c r="D110" i="36" l="1"/>
  <c r="B110" i="36" s="1"/>
  <c r="E110" i="36"/>
  <c r="F110" i="36" s="1"/>
  <c r="G110" i="36" s="1"/>
  <c r="C111" i="36" s="1"/>
  <c r="G50" i="25"/>
  <c r="I50" i="25"/>
  <c r="K50" i="25" s="1"/>
  <c r="L50" i="25" s="1"/>
  <c r="F51" i="25" s="1"/>
  <c r="E111" i="36" l="1"/>
  <c r="F111" i="36" s="1"/>
  <c r="G111" i="36" s="1"/>
  <c r="C112" i="36" s="1"/>
  <c r="D111" i="36"/>
  <c r="B111" i="36" s="1"/>
  <c r="G51" i="25"/>
  <c r="I51" i="25"/>
  <c r="K51" i="25" s="1"/>
  <c r="L51" i="25" s="1"/>
  <c r="F52" i="25" s="1"/>
  <c r="D112" i="36" l="1"/>
  <c r="B112" i="36" s="1"/>
  <c r="E112" i="36"/>
  <c r="F112" i="36" s="1"/>
  <c r="G112" i="36" s="1"/>
  <c r="C113" i="36" s="1"/>
  <c r="G52" i="25"/>
  <c r="I52" i="25"/>
  <c r="K52" i="25" s="1"/>
  <c r="L52" i="25" s="1"/>
  <c r="F53" i="25" s="1"/>
  <c r="E113" i="36" l="1"/>
  <c r="F113" i="36" s="1"/>
  <c r="G113" i="36" s="1"/>
  <c r="C114" i="36" s="1"/>
  <c r="D113" i="36"/>
  <c r="B113" i="36" s="1"/>
  <c r="G53" i="25"/>
  <c r="I53" i="25"/>
  <c r="K53" i="25" s="1"/>
  <c r="L53" i="25" s="1"/>
  <c r="F54" i="25" s="1"/>
  <c r="E114" i="36" l="1"/>
  <c r="F114" i="36" s="1"/>
  <c r="G114" i="36" s="1"/>
  <c r="C115" i="36" s="1"/>
  <c r="D114" i="36"/>
  <c r="B114" i="36" s="1"/>
  <c r="G54" i="25"/>
  <c r="I54" i="25"/>
  <c r="K54" i="25" s="1"/>
  <c r="L54" i="25" s="1"/>
  <c r="F55" i="25" s="1"/>
  <c r="D115" i="36" l="1"/>
  <c r="B115" i="36" s="1"/>
  <c r="E115" i="36"/>
  <c r="F115" i="36" s="1"/>
  <c r="G115" i="36" s="1"/>
  <c r="C116" i="36" s="1"/>
  <c r="G55" i="25"/>
  <c r="I55" i="25"/>
  <c r="K55" i="25" s="1"/>
  <c r="L55" i="25" s="1"/>
  <c r="F56" i="25" s="1"/>
  <c r="D116" i="36" l="1"/>
  <c r="B116" i="36" s="1"/>
  <c r="E116" i="36"/>
  <c r="F116" i="36" s="1"/>
  <c r="G116" i="36" s="1"/>
  <c r="C117" i="36" s="1"/>
  <c r="G56" i="25"/>
  <c r="I56" i="25"/>
  <c r="K56" i="25" s="1"/>
  <c r="L56" i="25" s="1"/>
  <c r="F57" i="25" s="1"/>
  <c r="E117" i="36" l="1"/>
  <c r="F117" i="36" s="1"/>
  <c r="G117" i="36" s="1"/>
  <c r="C118" i="36" s="1"/>
  <c r="D117" i="36"/>
  <c r="B117" i="36" s="1"/>
  <c r="G57" i="25"/>
  <c r="I57" i="25"/>
  <c r="K57" i="25" s="1"/>
  <c r="L57" i="25" s="1"/>
  <c r="F58" i="25" s="1"/>
  <c r="D118" i="36" l="1"/>
  <c r="B118" i="36" s="1"/>
  <c r="E118" i="36"/>
  <c r="F118" i="36" s="1"/>
  <c r="G118" i="36" s="1"/>
  <c r="C119" i="36" s="1"/>
  <c r="G58" i="25"/>
  <c r="I58" i="25"/>
  <c r="K58" i="25" s="1"/>
  <c r="L58" i="25" s="1"/>
  <c r="F59" i="25" s="1"/>
  <c r="D119" i="36" l="1"/>
  <c r="B119" i="36" s="1"/>
  <c r="E119" i="36"/>
  <c r="F119" i="36" s="1"/>
  <c r="G119" i="36" s="1"/>
  <c r="C120" i="36" s="1"/>
  <c r="G59" i="25"/>
  <c r="I59" i="25"/>
  <c r="K59" i="25" s="1"/>
  <c r="L59" i="25" s="1"/>
  <c r="F60" i="25" s="1"/>
  <c r="D120" i="36" l="1"/>
  <c r="B120" i="36" s="1"/>
  <c r="E120" i="36"/>
  <c r="F120" i="36" s="1"/>
  <c r="G120" i="36" s="1"/>
  <c r="C121" i="36" s="1"/>
  <c r="G60" i="25"/>
  <c r="I60" i="25"/>
  <c r="K60" i="25" s="1"/>
  <c r="L60" i="25" s="1"/>
  <c r="F61" i="25" s="1"/>
  <c r="D121" i="36" l="1"/>
  <c r="B121" i="36" s="1"/>
  <c r="E121" i="36"/>
  <c r="F121" i="36" s="1"/>
  <c r="G121" i="36" s="1"/>
  <c r="C122" i="36" s="1"/>
  <c r="G61" i="25"/>
  <c r="I61" i="25"/>
  <c r="K61" i="25" s="1"/>
  <c r="L61" i="25" s="1"/>
  <c r="F62" i="25" s="1"/>
  <c r="E122" i="36" l="1"/>
  <c r="F122" i="36" s="1"/>
  <c r="G122" i="36" s="1"/>
  <c r="C123" i="36" s="1"/>
  <c r="D122" i="36"/>
  <c r="B122" i="36" s="1"/>
  <c r="G62" i="25"/>
  <c r="I62" i="25"/>
  <c r="K62" i="25" s="1"/>
  <c r="L62" i="25" s="1"/>
  <c r="F63" i="25" s="1"/>
  <c r="D123" i="36" l="1"/>
  <c r="B123" i="36" s="1"/>
  <c r="E123" i="36"/>
  <c r="F123" i="36" s="1"/>
  <c r="G123" i="36" s="1"/>
  <c r="C124" i="36" s="1"/>
  <c r="G63" i="25"/>
  <c r="I63" i="25"/>
  <c r="K63" i="25" s="1"/>
  <c r="L63" i="25" s="1"/>
  <c r="F64" i="25" s="1"/>
  <c r="E124" i="36" l="1"/>
  <c r="F124" i="36" s="1"/>
  <c r="G124" i="36" s="1"/>
  <c r="C125" i="36" s="1"/>
  <c r="D124" i="36"/>
  <c r="B124" i="36" s="1"/>
  <c r="G64" i="25"/>
  <c r="I64" i="25"/>
  <c r="K64" i="25" s="1"/>
  <c r="L64" i="25" s="1"/>
  <c r="F65" i="25" s="1"/>
  <c r="E125" i="36" l="1"/>
  <c r="F125" i="36" s="1"/>
  <c r="G125" i="36" s="1"/>
  <c r="C126" i="36" s="1"/>
  <c r="D125" i="36"/>
  <c r="B125" i="36" s="1"/>
  <c r="G65" i="25"/>
  <c r="I65" i="25"/>
  <c r="K65" i="25" s="1"/>
  <c r="L65" i="25" s="1"/>
  <c r="F66" i="25" s="1"/>
  <c r="D126" i="36" l="1"/>
  <c r="B126" i="36" s="1"/>
  <c r="E126" i="36"/>
  <c r="F126" i="36" s="1"/>
  <c r="G126" i="36" s="1"/>
  <c r="C127" i="36" s="1"/>
  <c r="G66" i="25"/>
  <c r="I66" i="25"/>
  <c r="K66" i="25" s="1"/>
  <c r="L66" i="25" s="1"/>
  <c r="F67" i="25" s="1"/>
  <c r="D127" i="36" l="1"/>
  <c r="B127" i="36" s="1"/>
  <c r="E127" i="36"/>
  <c r="F127" i="36" s="1"/>
  <c r="G127" i="36" s="1"/>
  <c r="C128" i="36" s="1"/>
  <c r="G67" i="25"/>
  <c r="I67" i="25"/>
  <c r="K67" i="25" s="1"/>
  <c r="L67" i="25" s="1"/>
  <c r="F68" i="25" s="1"/>
  <c r="E128" i="36" l="1"/>
  <c r="F128" i="36" s="1"/>
  <c r="G128" i="36" s="1"/>
  <c r="C129" i="36" s="1"/>
  <c r="D128" i="36"/>
  <c r="B128" i="36" s="1"/>
  <c r="G68" i="25"/>
  <c r="I68" i="25"/>
  <c r="K68" i="25" s="1"/>
  <c r="L68" i="25" s="1"/>
  <c r="F69" i="25" s="1"/>
  <c r="E129" i="36" l="1"/>
  <c r="F129" i="36" s="1"/>
  <c r="G129" i="36" s="1"/>
  <c r="C130" i="36" s="1"/>
  <c r="D129" i="36"/>
  <c r="B129" i="36" s="1"/>
  <c r="G69" i="25"/>
  <c r="I69" i="25"/>
  <c r="K69" i="25" s="1"/>
  <c r="L69" i="25" s="1"/>
  <c r="F70" i="25" s="1"/>
  <c r="D130" i="36" l="1"/>
  <c r="B130" i="36" s="1"/>
  <c r="E130" i="36"/>
  <c r="F130" i="36" s="1"/>
  <c r="G130" i="36" s="1"/>
  <c r="C131" i="36" s="1"/>
  <c r="G70" i="25"/>
  <c r="I70" i="25"/>
  <c r="K70" i="25" s="1"/>
  <c r="L70" i="25" s="1"/>
  <c r="F71" i="25" s="1"/>
  <c r="D131" i="36" l="1"/>
  <c r="B131" i="36" s="1"/>
  <c r="E131" i="36"/>
  <c r="F131" i="36" s="1"/>
  <c r="G131" i="36" s="1"/>
  <c r="C132" i="36" s="1"/>
  <c r="G71" i="25"/>
  <c r="I71" i="25"/>
  <c r="K71" i="25" s="1"/>
  <c r="L71" i="25" s="1"/>
  <c r="F72" i="25" s="1"/>
  <c r="D132" i="36" l="1"/>
  <c r="B132" i="36" s="1"/>
  <c r="E132" i="36"/>
  <c r="F132" i="36" s="1"/>
  <c r="G132" i="36" s="1"/>
  <c r="C133" i="36" s="1"/>
  <c r="G72" i="25"/>
  <c r="I72" i="25"/>
  <c r="K72" i="25" s="1"/>
  <c r="L72" i="25" s="1"/>
  <c r="F73" i="25" s="1"/>
  <c r="D133" i="36" l="1"/>
  <c r="B133" i="36" s="1"/>
  <c r="E133" i="36"/>
  <c r="F133" i="36" s="1"/>
  <c r="G133" i="36" s="1"/>
  <c r="C134" i="36" s="1"/>
  <c r="G73" i="25"/>
  <c r="I73" i="25"/>
  <c r="K73" i="25" s="1"/>
  <c r="L73" i="25" s="1"/>
  <c r="F74" i="25" s="1"/>
  <c r="D134" i="36" l="1"/>
  <c r="B134" i="36" s="1"/>
  <c r="E134" i="36"/>
  <c r="F134" i="36" s="1"/>
  <c r="G134" i="36" s="1"/>
  <c r="C135" i="36" s="1"/>
  <c r="G74" i="25"/>
  <c r="I74" i="25"/>
  <c r="K74" i="25" s="1"/>
  <c r="L74" i="25" s="1"/>
  <c r="F75" i="25" s="1"/>
  <c r="E135" i="36" l="1"/>
  <c r="F135" i="36" s="1"/>
  <c r="G135" i="36" s="1"/>
  <c r="C136" i="36" s="1"/>
  <c r="D135" i="36"/>
  <c r="B135" i="36" s="1"/>
  <c r="G75" i="25"/>
  <c r="I75" i="25"/>
  <c r="K75" i="25" s="1"/>
  <c r="L75" i="25" s="1"/>
  <c r="F76" i="25" s="1"/>
  <c r="D136" i="36" l="1"/>
  <c r="B136" i="36" s="1"/>
  <c r="E136" i="36"/>
  <c r="F136" i="36" s="1"/>
  <c r="G136" i="36" s="1"/>
  <c r="C137" i="36" s="1"/>
  <c r="G76" i="25"/>
  <c r="I76" i="25"/>
  <c r="K76" i="25" s="1"/>
  <c r="L76" i="25" s="1"/>
  <c r="F77" i="25" s="1"/>
  <c r="E137" i="36" l="1"/>
  <c r="F137" i="36" s="1"/>
  <c r="G137" i="36" s="1"/>
  <c r="C138" i="36" s="1"/>
  <c r="D137" i="36"/>
  <c r="B137" i="36" s="1"/>
  <c r="G77" i="25"/>
  <c r="I77" i="25"/>
  <c r="K77" i="25" s="1"/>
  <c r="L77" i="25" s="1"/>
  <c r="F78" i="25" s="1"/>
  <c r="E138" i="36" l="1"/>
  <c r="F138" i="36" s="1"/>
  <c r="G138" i="36" s="1"/>
  <c r="C139" i="36" s="1"/>
  <c r="D138" i="36"/>
  <c r="B138" i="36" s="1"/>
  <c r="G78" i="25"/>
  <c r="I78" i="25"/>
  <c r="K78" i="25" s="1"/>
  <c r="L78" i="25" s="1"/>
  <c r="F79" i="25" s="1"/>
  <c r="D139" i="36" l="1"/>
  <c r="B139" i="36" s="1"/>
  <c r="E139" i="36"/>
  <c r="F139" i="36" s="1"/>
  <c r="G139" i="36" s="1"/>
  <c r="C140" i="36" s="1"/>
  <c r="G79" i="25"/>
  <c r="I79" i="25"/>
  <c r="K79" i="25" s="1"/>
  <c r="L79" i="25" s="1"/>
  <c r="F80" i="25" s="1"/>
  <c r="E140" i="36" l="1"/>
  <c r="F140" i="36" s="1"/>
  <c r="G140" i="36" s="1"/>
  <c r="C141" i="36" s="1"/>
  <c r="D140" i="36"/>
  <c r="B140" i="36" s="1"/>
  <c r="G80" i="25"/>
  <c r="I80" i="25"/>
  <c r="K80" i="25" s="1"/>
  <c r="L80" i="25" s="1"/>
  <c r="F81" i="25" s="1"/>
  <c r="D141" i="36" l="1"/>
  <c r="B141" i="36" s="1"/>
  <c r="E141" i="36"/>
  <c r="F141" i="36" s="1"/>
  <c r="G141" i="36" s="1"/>
  <c r="C142" i="36" s="1"/>
  <c r="G81" i="25"/>
  <c r="I81" i="25"/>
  <c r="K81" i="25" s="1"/>
  <c r="L81" i="25" s="1"/>
  <c r="F82" i="25" s="1"/>
  <c r="D142" i="36" l="1"/>
  <c r="B142" i="36" s="1"/>
  <c r="E142" i="36"/>
  <c r="F142" i="36" s="1"/>
  <c r="G142" i="36" s="1"/>
  <c r="C143" i="36" s="1"/>
  <c r="G82" i="25"/>
  <c r="I82" i="25"/>
  <c r="K82" i="25" s="1"/>
  <c r="L82" i="25" s="1"/>
  <c r="F83" i="25" s="1"/>
  <c r="D143" i="36" l="1"/>
  <c r="B143" i="36" s="1"/>
  <c r="E143" i="36"/>
  <c r="F143" i="36" s="1"/>
  <c r="G143" i="36" s="1"/>
  <c r="C144" i="36" s="1"/>
  <c r="G83" i="25"/>
  <c r="I83" i="25"/>
  <c r="K83" i="25" s="1"/>
  <c r="L83" i="25" s="1"/>
  <c r="F84" i="25" s="1"/>
  <c r="D144" i="36" l="1"/>
  <c r="B144" i="36" s="1"/>
  <c r="E144" i="36"/>
  <c r="F144" i="36" s="1"/>
  <c r="G144" i="36" s="1"/>
  <c r="C145" i="36" s="1"/>
  <c r="G84" i="25"/>
  <c r="I84" i="25"/>
  <c r="K84" i="25" s="1"/>
  <c r="L84" i="25" s="1"/>
  <c r="F85" i="25" s="1"/>
  <c r="E145" i="36" l="1"/>
  <c r="F145" i="36" s="1"/>
  <c r="G145" i="36" s="1"/>
  <c r="C146" i="36" s="1"/>
  <c r="D145" i="36"/>
  <c r="B145" i="36" s="1"/>
  <c r="G85" i="25"/>
  <c r="I85" i="25"/>
  <c r="K85" i="25" s="1"/>
  <c r="L85" i="25" s="1"/>
  <c r="F86" i="25" s="1"/>
  <c r="E146" i="36" l="1"/>
  <c r="F146" i="36" s="1"/>
  <c r="G146" i="36" s="1"/>
  <c r="C147" i="36" s="1"/>
  <c r="D146" i="36"/>
  <c r="B146" i="36" s="1"/>
  <c r="G86" i="25"/>
  <c r="I86" i="25"/>
  <c r="K86" i="25" s="1"/>
  <c r="L86" i="25" s="1"/>
  <c r="F87" i="25" s="1"/>
  <c r="D147" i="36" l="1"/>
  <c r="B147" i="36" s="1"/>
  <c r="E147" i="36"/>
  <c r="F147" i="36" s="1"/>
  <c r="G147" i="36" s="1"/>
  <c r="C148" i="36" s="1"/>
  <c r="G87" i="25"/>
  <c r="I87" i="25"/>
  <c r="K87" i="25" s="1"/>
  <c r="L87" i="25" s="1"/>
  <c r="F88" i="25" s="1"/>
  <c r="E148" i="36" l="1"/>
  <c r="F148" i="36" s="1"/>
  <c r="G148" i="36" s="1"/>
  <c r="C149" i="36" s="1"/>
  <c r="D148" i="36"/>
  <c r="B148" i="36" s="1"/>
  <c r="G88" i="25"/>
  <c r="I88" i="25"/>
  <c r="K88" i="25" s="1"/>
  <c r="L88" i="25" s="1"/>
  <c r="F89" i="25" s="1"/>
  <c r="D149" i="36" l="1"/>
  <c r="B149" i="36" s="1"/>
  <c r="E149" i="36"/>
  <c r="F149" i="36" s="1"/>
  <c r="G149" i="36" s="1"/>
  <c r="C150" i="36" s="1"/>
  <c r="G89" i="25"/>
  <c r="I89" i="25"/>
  <c r="K89" i="25" s="1"/>
  <c r="L89" i="25" s="1"/>
  <c r="F90" i="25" s="1"/>
  <c r="D150" i="36" l="1"/>
  <c r="B150" i="36" s="1"/>
  <c r="E150" i="36"/>
  <c r="F150" i="36" s="1"/>
  <c r="G150" i="36" s="1"/>
  <c r="C151" i="36" s="1"/>
  <c r="G90" i="25"/>
  <c r="I90" i="25"/>
  <c r="K90" i="25" s="1"/>
  <c r="L90" i="25" s="1"/>
  <c r="F91" i="25" s="1"/>
  <c r="E151" i="36" l="1"/>
  <c r="F151" i="36" s="1"/>
  <c r="G151" i="36" s="1"/>
  <c r="C152" i="36" s="1"/>
  <c r="D151" i="36"/>
  <c r="B151" i="36" s="1"/>
  <c r="G91" i="25"/>
  <c r="I91" i="25"/>
  <c r="K91" i="25" s="1"/>
  <c r="L91" i="25" s="1"/>
  <c r="F92" i="25" s="1"/>
  <c r="D152" i="36" l="1"/>
  <c r="B152" i="36" s="1"/>
  <c r="E152" i="36"/>
  <c r="F152" i="36" s="1"/>
  <c r="G152" i="36" s="1"/>
  <c r="C153" i="36" s="1"/>
  <c r="G92" i="25"/>
  <c r="I92" i="25"/>
  <c r="K92" i="25" s="1"/>
  <c r="L92" i="25" s="1"/>
  <c r="F93" i="25" s="1"/>
  <c r="D153" i="36" l="1"/>
  <c r="B153" i="36" s="1"/>
  <c r="E153" i="36"/>
  <c r="F153" i="36" s="1"/>
  <c r="G153" i="36" s="1"/>
  <c r="C154" i="36" s="1"/>
  <c r="G93" i="25"/>
  <c r="I93" i="25"/>
  <c r="K93" i="25" s="1"/>
  <c r="L93" i="25" s="1"/>
  <c r="F94" i="25" s="1"/>
  <c r="E154" i="36" l="1"/>
  <c r="F154" i="36" s="1"/>
  <c r="G154" i="36" s="1"/>
  <c r="C155" i="36" s="1"/>
  <c r="D154" i="36"/>
  <c r="B154" i="36" s="1"/>
  <c r="G94" i="25"/>
  <c r="I94" i="25"/>
  <c r="K94" i="25" s="1"/>
  <c r="L94" i="25" s="1"/>
  <c r="F95" i="25" s="1"/>
  <c r="D155" i="36" l="1"/>
  <c r="B155" i="36" s="1"/>
  <c r="E155" i="36"/>
  <c r="F155" i="36" s="1"/>
  <c r="G155" i="36" s="1"/>
  <c r="C156" i="36" s="1"/>
  <c r="G95" i="25"/>
  <c r="I95" i="25"/>
  <c r="K95" i="25" s="1"/>
  <c r="L95" i="25" s="1"/>
  <c r="F96" i="25" s="1"/>
  <c r="D156" i="36" l="1"/>
  <c r="B156" i="36" s="1"/>
  <c r="E156" i="36"/>
  <c r="F156" i="36" s="1"/>
  <c r="G156" i="36" s="1"/>
  <c r="C157" i="36" s="1"/>
  <c r="G96" i="25"/>
  <c r="I96" i="25"/>
  <c r="K96" i="25" s="1"/>
  <c r="L96" i="25" s="1"/>
  <c r="F97" i="25" s="1"/>
  <c r="E157" i="36" l="1"/>
  <c r="F157" i="36" s="1"/>
  <c r="G157" i="36" s="1"/>
  <c r="C158" i="36" s="1"/>
  <c r="D157" i="36"/>
  <c r="B157" i="36" s="1"/>
  <c r="G97" i="25"/>
  <c r="I97" i="25"/>
  <c r="K97" i="25" s="1"/>
  <c r="L97" i="25" s="1"/>
  <c r="F98" i="25" s="1"/>
  <c r="E158" i="36" l="1"/>
  <c r="F158" i="36" s="1"/>
  <c r="G158" i="36" s="1"/>
  <c r="C159" i="36" s="1"/>
  <c r="D158" i="36"/>
  <c r="B158" i="36" s="1"/>
  <c r="G98" i="25"/>
  <c r="I98" i="25"/>
  <c r="K98" i="25" s="1"/>
  <c r="L98" i="25" s="1"/>
  <c r="F99" i="25" s="1"/>
  <c r="E159" i="36" l="1"/>
  <c r="F159" i="36" s="1"/>
  <c r="G159" i="36" s="1"/>
  <c r="C160" i="36" s="1"/>
  <c r="D159" i="36"/>
  <c r="B159" i="36" s="1"/>
  <c r="G99" i="25"/>
  <c r="I99" i="25"/>
  <c r="K99" i="25" s="1"/>
  <c r="L99" i="25" s="1"/>
  <c r="F100" i="25" s="1"/>
  <c r="D160" i="36" l="1"/>
  <c r="B160" i="36" s="1"/>
  <c r="E160" i="36"/>
  <c r="F160" i="36" s="1"/>
  <c r="G160" i="36" s="1"/>
  <c r="C161" i="36" s="1"/>
  <c r="G100" i="25"/>
  <c r="I100" i="25"/>
  <c r="K100" i="25" s="1"/>
  <c r="L100" i="25" s="1"/>
  <c r="F101" i="25" s="1"/>
  <c r="D161" i="36" l="1"/>
  <c r="B161" i="36" s="1"/>
  <c r="E161" i="36"/>
  <c r="F161" i="36" s="1"/>
  <c r="G161" i="36" s="1"/>
  <c r="C162" i="36" s="1"/>
  <c r="G101" i="25"/>
  <c r="I101" i="25"/>
  <c r="K101" i="25" s="1"/>
  <c r="L101" i="25" s="1"/>
  <c r="F102" i="25" s="1"/>
  <c r="D162" i="36" l="1"/>
  <c r="B162" i="36" s="1"/>
  <c r="E162" i="36"/>
  <c r="F162" i="36" s="1"/>
  <c r="G162" i="36" s="1"/>
  <c r="C163" i="36" s="1"/>
  <c r="G102" i="25"/>
  <c r="I102" i="25"/>
  <c r="K102" i="25" s="1"/>
  <c r="L102" i="25" s="1"/>
  <c r="F103" i="25" s="1"/>
  <c r="D163" i="36" l="1"/>
  <c r="B163" i="36" s="1"/>
  <c r="E163" i="36"/>
  <c r="F163" i="36" s="1"/>
  <c r="G163" i="36" s="1"/>
  <c r="C164" i="36" s="1"/>
  <c r="G103" i="25"/>
  <c r="I103" i="25"/>
  <c r="K103" i="25" s="1"/>
  <c r="L103" i="25" s="1"/>
  <c r="F104" i="25" s="1"/>
  <c r="D164" i="36" l="1"/>
  <c r="B164" i="36" s="1"/>
  <c r="E164" i="36"/>
  <c r="F164" i="36" s="1"/>
  <c r="G164" i="36" s="1"/>
  <c r="C165" i="36" s="1"/>
  <c r="G104" i="25"/>
  <c r="I104" i="25"/>
  <c r="K104" i="25" s="1"/>
  <c r="L104" i="25" s="1"/>
  <c r="F105" i="25" s="1"/>
  <c r="D165" i="36" l="1"/>
  <c r="B165" i="36" s="1"/>
  <c r="E165" i="36"/>
  <c r="F165" i="36" s="1"/>
  <c r="G165" i="36" s="1"/>
  <c r="C166" i="36" s="1"/>
  <c r="G105" i="25"/>
  <c r="I105" i="25"/>
  <c r="K105" i="25" s="1"/>
  <c r="L105" i="25" s="1"/>
  <c r="F106" i="25" s="1"/>
  <c r="D166" i="36" l="1"/>
  <c r="B166" i="36" s="1"/>
  <c r="E166" i="36"/>
  <c r="F166" i="36" s="1"/>
  <c r="G166" i="36" s="1"/>
  <c r="C167" i="36" s="1"/>
  <c r="G106" i="25"/>
  <c r="I106" i="25"/>
  <c r="K106" i="25" s="1"/>
  <c r="L106" i="25" s="1"/>
  <c r="F107" i="25" s="1"/>
  <c r="D167" i="36" l="1"/>
  <c r="B167" i="36" s="1"/>
  <c r="E167" i="36"/>
  <c r="F167" i="36" s="1"/>
  <c r="G167" i="36" s="1"/>
  <c r="C168" i="36" s="1"/>
  <c r="G107" i="25"/>
  <c r="I107" i="25"/>
  <c r="K107" i="25" s="1"/>
  <c r="L107" i="25" s="1"/>
  <c r="F108" i="25" s="1"/>
  <c r="E168" i="36" l="1"/>
  <c r="F168" i="36" s="1"/>
  <c r="G168" i="36" s="1"/>
  <c r="C169" i="36" s="1"/>
  <c r="D168" i="36"/>
  <c r="B168" i="36" s="1"/>
  <c r="G108" i="25"/>
  <c r="I108" i="25"/>
  <c r="K108" i="25" s="1"/>
  <c r="L108" i="25" s="1"/>
  <c r="F109" i="25" s="1"/>
  <c r="D169" i="36" l="1"/>
  <c r="B169" i="36" s="1"/>
  <c r="E169" i="36"/>
  <c r="F169" i="36" s="1"/>
  <c r="G169" i="36" s="1"/>
  <c r="C170" i="36" s="1"/>
  <c r="G109" i="25"/>
  <c r="I109" i="25"/>
  <c r="K109" i="25" s="1"/>
  <c r="L109" i="25" s="1"/>
  <c r="F110" i="25" s="1"/>
  <c r="D170" i="36" l="1"/>
  <c r="B170" i="36" s="1"/>
  <c r="E170" i="36"/>
  <c r="F170" i="36" s="1"/>
  <c r="G170" i="36" s="1"/>
  <c r="C171" i="36" s="1"/>
  <c r="G110" i="25"/>
  <c r="I110" i="25"/>
  <c r="K110" i="25" s="1"/>
  <c r="L110" i="25" s="1"/>
  <c r="F111" i="25" s="1"/>
  <c r="D171" i="36" l="1"/>
  <c r="B171" i="36" s="1"/>
  <c r="E171" i="36"/>
  <c r="F171" i="36" s="1"/>
  <c r="G171" i="36" s="1"/>
  <c r="C172" i="36" s="1"/>
  <c r="G111" i="25"/>
  <c r="I111" i="25"/>
  <c r="K111" i="25" s="1"/>
  <c r="L111" i="25" s="1"/>
  <c r="F112" i="25" s="1"/>
  <c r="D172" i="36" l="1"/>
  <c r="B172" i="36" s="1"/>
  <c r="E172" i="36"/>
  <c r="F172" i="36" s="1"/>
  <c r="G172" i="36" s="1"/>
  <c r="C173" i="36" s="1"/>
  <c r="G112" i="25"/>
  <c r="I112" i="25"/>
  <c r="K112" i="25" s="1"/>
  <c r="L112" i="25" s="1"/>
  <c r="F113" i="25" s="1"/>
  <c r="D173" i="36" l="1"/>
  <c r="B173" i="36" s="1"/>
  <c r="E173" i="36"/>
  <c r="F173" i="36" s="1"/>
  <c r="G173" i="36" s="1"/>
  <c r="C174" i="36" s="1"/>
  <c r="G113" i="25"/>
  <c r="I113" i="25"/>
  <c r="K113" i="25" s="1"/>
  <c r="L113" i="25" s="1"/>
  <c r="F114" i="25" s="1"/>
  <c r="D174" i="36" l="1"/>
  <c r="B174" i="36" s="1"/>
  <c r="E174" i="36"/>
  <c r="F174" i="36" s="1"/>
  <c r="G174" i="36" s="1"/>
  <c r="C175" i="36" s="1"/>
  <c r="G114" i="25"/>
  <c r="I114" i="25"/>
  <c r="K114" i="25" s="1"/>
  <c r="L114" i="25" s="1"/>
  <c r="F115" i="25" s="1"/>
  <c r="D175" i="36" l="1"/>
  <c r="B175" i="36" s="1"/>
  <c r="E175" i="36"/>
  <c r="F175" i="36" s="1"/>
  <c r="G175" i="36" s="1"/>
  <c r="C176" i="36" s="1"/>
  <c r="G115" i="25"/>
  <c r="I115" i="25"/>
  <c r="K115" i="25" s="1"/>
  <c r="L115" i="25" s="1"/>
  <c r="F116" i="25" s="1"/>
  <c r="D176" i="36" l="1"/>
  <c r="B176" i="36" s="1"/>
  <c r="E176" i="36"/>
  <c r="F176" i="36" s="1"/>
  <c r="G176" i="36" s="1"/>
  <c r="C177" i="36" s="1"/>
  <c r="G116" i="25"/>
  <c r="I116" i="25"/>
  <c r="K116" i="25" s="1"/>
  <c r="L116" i="25" s="1"/>
  <c r="F117" i="25" s="1"/>
  <c r="D177" i="36" l="1"/>
  <c r="B177" i="36" s="1"/>
  <c r="E177" i="36"/>
  <c r="F177" i="36" s="1"/>
  <c r="G177" i="36" s="1"/>
  <c r="C178" i="36" s="1"/>
  <c r="G117" i="25"/>
  <c r="I117" i="25"/>
  <c r="K117" i="25" s="1"/>
  <c r="L117" i="25" s="1"/>
  <c r="F118" i="25" s="1"/>
  <c r="D178" i="36" l="1"/>
  <c r="B178" i="36" s="1"/>
  <c r="E178" i="36"/>
  <c r="F178" i="36" s="1"/>
  <c r="G178" i="36" s="1"/>
  <c r="C179" i="36" s="1"/>
  <c r="G118" i="25"/>
  <c r="I118" i="25"/>
  <c r="K118" i="25" s="1"/>
  <c r="L118" i="25" s="1"/>
  <c r="F119" i="25" s="1"/>
  <c r="D179" i="36" l="1"/>
  <c r="B179" i="36" s="1"/>
  <c r="E179" i="36"/>
  <c r="F179" i="36" s="1"/>
  <c r="G179" i="36" s="1"/>
  <c r="C180" i="36" s="1"/>
  <c r="G119" i="25"/>
  <c r="I119" i="25"/>
  <c r="K119" i="25" s="1"/>
  <c r="L119" i="25" s="1"/>
  <c r="F120" i="25" s="1"/>
  <c r="D180" i="36" l="1"/>
  <c r="B180" i="36" s="1"/>
  <c r="E180" i="36"/>
  <c r="F180" i="36" s="1"/>
  <c r="G180" i="36" s="1"/>
  <c r="C181" i="36" s="1"/>
  <c r="G120" i="25"/>
  <c r="I120" i="25"/>
  <c r="K120" i="25" s="1"/>
  <c r="L120" i="25" s="1"/>
  <c r="F121" i="25" s="1"/>
  <c r="D181" i="36" l="1"/>
  <c r="B181" i="36" s="1"/>
  <c r="E181" i="36"/>
  <c r="F181" i="36" s="1"/>
  <c r="G181" i="36" s="1"/>
  <c r="C182" i="36" s="1"/>
  <c r="G121" i="25"/>
  <c r="I121" i="25"/>
  <c r="K121" i="25" s="1"/>
  <c r="L121" i="25" s="1"/>
  <c r="F122" i="25" s="1"/>
  <c r="D182" i="36" l="1"/>
  <c r="B182" i="36" s="1"/>
  <c r="E182" i="36"/>
  <c r="F182" i="36" s="1"/>
  <c r="G182" i="36" s="1"/>
  <c r="C183" i="36" s="1"/>
  <c r="G122" i="25"/>
  <c r="I122" i="25"/>
  <c r="K122" i="25" s="1"/>
  <c r="L122" i="25" s="1"/>
  <c r="F123" i="25" s="1"/>
  <c r="D183" i="36" l="1"/>
  <c r="B183" i="36" s="1"/>
  <c r="E183" i="36"/>
  <c r="F183" i="36" s="1"/>
  <c r="G183" i="36" s="1"/>
  <c r="C184" i="36" s="1"/>
  <c r="G123" i="25"/>
  <c r="I123" i="25"/>
  <c r="K123" i="25" s="1"/>
  <c r="L123" i="25" s="1"/>
  <c r="F124" i="25" s="1"/>
  <c r="D184" i="36" l="1"/>
  <c r="B184" i="36" s="1"/>
  <c r="E184" i="36"/>
  <c r="F184" i="36" s="1"/>
  <c r="G184" i="36" s="1"/>
  <c r="C185" i="36" s="1"/>
  <c r="G124" i="25"/>
  <c r="I124" i="25"/>
  <c r="K124" i="25" s="1"/>
  <c r="L124" i="25" s="1"/>
  <c r="F125" i="25" s="1"/>
  <c r="D185" i="36" l="1"/>
  <c r="B185" i="36" s="1"/>
  <c r="E185" i="36"/>
  <c r="F185" i="36" s="1"/>
  <c r="G185" i="36" s="1"/>
  <c r="C186" i="36" s="1"/>
  <c r="G125" i="25"/>
  <c r="I125" i="25"/>
  <c r="K125" i="25" s="1"/>
  <c r="L125" i="25" s="1"/>
  <c r="F126" i="25" s="1"/>
  <c r="E186" i="36" l="1"/>
  <c r="F186" i="36" s="1"/>
  <c r="G186" i="36" s="1"/>
  <c r="C187" i="36" s="1"/>
  <c r="D186" i="36"/>
  <c r="B186" i="36" s="1"/>
  <c r="G126" i="25"/>
  <c r="I126" i="25"/>
  <c r="K126" i="25" s="1"/>
  <c r="L126" i="25" s="1"/>
  <c r="F127" i="25" s="1"/>
  <c r="D187" i="36" l="1"/>
  <c r="B187" i="36" s="1"/>
  <c r="E187" i="36"/>
  <c r="F187" i="36" s="1"/>
  <c r="G187" i="36" s="1"/>
  <c r="C188" i="36" s="1"/>
  <c r="G127" i="25"/>
  <c r="I127" i="25"/>
  <c r="K127" i="25" s="1"/>
  <c r="L127" i="25" s="1"/>
  <c r="F128" i="25" s="1"/>
  <c r="D188" i="36" l="1"/>
  <c r="B188" i="36" s="1"/>
  <c r="E188" i="36"/>
  <c r="F188" i="36" s="1"/>
  <c r="G188" i="36" s="1"/>
  <c r="C189" i="36" s="1"/>
  <c r="G128" i="25"/>
  <c r="I128" i="25"/>
  <c r="K128" i="25" s="1"/>
  <c r="L128" i="25" s="1"/>
  <c r="F129" i="25" s="1"/>
  <c r="D189" i="36" l="1"/>
  <c r="B189" i="36" s="1"/>
  <c r="E189" i="36"/>
  <c r="F189" i="36" s="1"/>
  <c r="G189" i="36" s="1"/>
  <c r="C190" i="36" s="1"/>
  <c r="G129" i="25"/>
  <c r="I129" i="25"/>
  <c r="K129" i="25" s="1"/>
  <c r="L129" i="25" s="1"/>
  <c r="F130" i="25" s="1"/>
  <c r="D190" i="36" l="1"/>
  <c r="B190" i="36" s="1"/>
  <c r="E190" i="36"/>
  <c r="F190" i="36" s="1"/>
  <c r="G190" i="36" s="1"/>
  <c r="C191" i="36" s="1"/>
  <c r="G130" i="25"/>
  <c r="I130" i="25"/>
  <c r="K130" i="25" s="1"/>
  <c r="L130" i="25" s="1"/>
  <c r="F131" i="25" s="1"/>
  <c r="D191" i="36" l="1"/>
  <c r="B191" i="36" s="1"/>
  <c r="E191" i="36"/>
  <c r="F191" i="36" s="1"/>
  <c r="G191" i="36" s="1"/>
  <c r="C192" i="36" s="1"/>
  <c r="G131" i="25"/>
  <c r="I131" i="25"/>
  <c r="K131" i="25" s="1"/>
  <c r="L131" i="25" s="1"/>
  <c r="F132" i="25" s="1"/>
  <c r="D192" i="36" l="1"/>
  <c r="B192" i="36" s="1"/>
  <c r="E192" i="36"/>
  <c r="F192" i="36" s="1"/>
  <c r="G192" i="36" s="1"/>
  <c r="C193" i="36" s="1"/>
  <c r="G132" i="25"/>
  <c r="I132" i="25"/>
  <c r="K132" i="25" s="1"/>
  <c r="L132" i="25" s="1"/>
  <c r="F133" i="25" s="1"/>
  <c r="D193" i="36" l="1"/>
  <c r="B193" i="36" s="1"/>
  <c r="E193" i="36"/>
  <c r="F193" i="36" s="1"/>
  <c r="G193" i="36" s="1"/>
  <c r="C194" i="36" s="1"/>
  <c r="G133" i="25"/>
  <c r="I133" i="25"/>
  <c r="K133" i="25" s="1"/>
  <c r="L133" i="25" s="1"/>
  <c r="F134" i="25" s="1"/>
  <c r="D194" i="36" l="1"/>
  <c r="B194" i="36" s="1"/>
  <c r="E194" i="36"/>
  <c r="F194" i="36" s="1"/>
  <c r="G194" i="36" s="1"/>
  <c r="C195" i="36" s="1"/>
  <c r="G134" i="25"/>
  <c r="I134" i="25"/>
  <c r="K134" i="25" s="1"/>
  <c r="L134" i="25" s="1"/>
  <c r="F135" i="25" s="1"/>
  <c r="D195" i="36" l="1"/>
  <c r="B195" i="36" s="1"/>
  <c r="E195" i="36"/>
  <c r="F195" i="36" s="1"/>
  <c r="G195" i="36" s="1"/>
  <c r="C196" i="36" s="1"/>
  <c r="G135" i="25"/>
  <c r="I135" i="25"/>
  <c r="K135" i="25" s="1"/>
  <c r="L135" i="25" s="1"/>
  <c r="F136" i="25" s="1"/>
  <c r="D196" i="36" l="1"/>
  <c r="B196" i="36" s="1"/>
  <c r="E196" i="36"/>
  <c r="F196" i="36" s="1"/>
  <c r="G196" i="36" s="1"/>
  <c r="C197" i="36" s="1"/>
  <c r="G136" i="25"/>
  <c r="I136" i="25"/>
  <c r="K136" i="25" s="1"/>
  <c r="L136" i="25" s="1"/>
  <c r="F137" i="25" s="1"/>
  <c r="D197" i="36" l="1"/>
  <c r="B197" i="36" s="1"/>
  <c r="E197" i="36"/>
  <c r="F197" i="36" s="1"/>
  <c r="G197" i="36" s="1"/>
  <c r="C198" i="36" s="1"/>
  <c r="G137" i="25"/>
  <c r="I137" i="25"/>
  <c r="K137" i="25" s="1"/>
  <c r="L137" i="25" s="1"/>
  <c r="F138" i="25" s="1"/>
  <c r="D198" i="36" l="1"/>
  <c r="B198" i="36" s="1"/>
  <c r="E198" i="36"/>
  <c r="F198" i="36" s="1"/>
  <c r="G198" i="36" s="1"/>
  <c r="C199" i="36" s="1"/>
  <c r="G138" i="25"/>
  <c r="I138" i="25"/>
  <c r="K138" i="25" s="1"/>
  <c r="L138" i="25" s="1"/>
  <c r="F139" i="25" s="1"/>
  <c r="D199" i="36" l="1"/>
  <c r="B199" i="36" s="1"/>
  <c r="E199" i="36"/>
  <c r="F199" i="36" s="1"/>
  <c r="G199" i="36" s="1"/>
  <c r="C200" i="36" s="1"/>
  <c r="G139" i="25"/>
  <c r="I139" i="25"/>
  <c r="K139" i="25" s="1"/>
  <c r="L139" i="25" s="1"/>
  <c r="F140" i="25" s="1"/>
  <c r="D200" i="36" l="1"/>
  <c r="B200" i="36" s="1"/>
  <c r="E200" i="36"/>
  <c r="F200" i="36" s="1"/>
  <c r="G200" i="36" s="1"/>
  <c r="C201" i="36" s="1"/>
  <c r="G140" i="25"/>
  <c r="I140" i="25"/>
  <c r="K140" i="25" s="1"/>
  <c r="L140" i="25" s="1"/>
  <c r="F141" i="25" s="1"/>
  <c r="D201" i="36" l="1"/>
  <c r="B201" i="36" s="1"/>
  <c r="E201" i="36"/>
  <c r="F201" i="36" s="1"/>
  <c r="G201" i="36" s="1"/>
  <c r="C202" i="36" s="1"/>
  <c r="G141" i="25"/>
  <c r="I141" i="25"/>
  <c r="K141" i="25" s="1"/>
  <c r="L141" i="25" s="1"/>
  <c r="F142" i="25" s="1"/>
  <c r="D202" i="36" l="1"/>
  <c r="B202" i="36" s="1"/>
  <c r="E202" i="36"/>
  <c r="F202" i="36" s="1"/>
  <c r="G202" i="36" s="1"/>
  <c r="C203" i="36" s="1"/>
  <c r="G142" i="25"/>
  <c r="I142" i="25"/>
  <c r="K142" i="25" s="1"/>
  <c r="L142" i="25" s="1"/>
  <c r="F143" i="25" s="1"/>
  <c r="D203" i="36" l="1"/>
  <c r="B203" i="36" s="1"/>
  <c r="E203" i="36"/>
  <c r="F203" i="36" s="1"/>
  <c r="G203" i="36" s="1"/>
  <c r="C204" i="36" s="1"/>
  <c r="G143" i="25"/>
  <c r="I143" i="25"/>
  <c r="K143" i="25" s="1"/>
  <c r="L143" i="25" s="1"/>
  <c r="F144" i="25" s="1"/>
  <c r="E204" i="36" l="1"/>
  <c r="F204" i="36" s="1"/>
  <c r="G204" i="36" s="1"/>
  <c r="C205" i="36" s="1"/>
  <c r="D204" i="36"/>
  <c r="B204" i="36" s="1"/>
  <c r="G144" i="25"/>
  <c r="I144" i="25"/>
  <c r="K144" i="25" s="1"/>
  <c r="L144" i="25" s="1"/>
  <c r="F145" i="25" s="1"/>
  <c r="D205" i="36" l="1"/>
  <c r="B205" i="36" s="1"/>
  <c r="E205" i="36"/>
  <c r="F205" i="36" s="1"/>
  <c r="G205" i="36" s="1"/>
  <c r="C206" i="36" s="1"/>
  <c r="G145" i="25"/>
  <c r="I145" i="25"/>
  <c r="K145" i="25" s="1"/>
  <c r="L145" i="25" s="1"/>
  <c r="F146" i="25" s="1"/>
  <c r="D206" i="36" l="1"/>
  <c r="B206" i="36" s="1"/>
  <c r="E206" i="36"/>
  <c r="F206" i="36" s="1"/>
  <c r="G206" i="36" s="1"/>
  <c r="C207" i="36" s="1"/>
  <c r="G146" i="25"/>
  <c r="I146" i="25"/>
  <c r="K146" i="25" s="1"/>
  <c r="L146" i="25" s="1"/>
  <c r="F147" i="25" s="1"/>
  <c r="D207" i="36" l="1"/>
  <c r="B207" i="36" s="1"/>
  <c r="E207" i="36"/>
  <c r="F207" i="36" s="1"/>
  <c r="G207" i="36" s="1"/>
  <c r="C208" i="36" s="1"/>
  <c r="G147" i="25"/>
  <c r="I147" i="25"/>
  <c r="K147" i="25" s="1"/>
  <c r="L147" i="25" s="1"/>
  <c r="F148" i="25" s="1"/>
  <c r="D208" i="36" l="1"/>
  <c r="B208" i="36" s="1"/>
  <c r="E208" i="36"/>
  <c r="F208" i="36" s="1"/>
  <c r="G208" i="36" s="1"/>
  <c r="C209" i="36" s="1"/>
  <c r="G148" i="25"/>
  <c r="I148" i="25"/>
  <c r="K148" i="25" s="1"/>
  <c r="L148" i="25" s="1"/>
  <c r="F149" i="25" s="1"/>
  <c r="D209" i="36" l="1"/>
  <c r="B209" i="36" s="1"/>
  <c r="E209" i="36"/>
  <c r="F209" i="36" s="1"/>
  <c r="G209" i="36" s="1"/>
  <c r="C210" i="36" s="1"/>
  <c r="G149" i="25"/>
  <c r="I149" i="25"/>
  <c r="K149" i="25" s="1"/>
  <c r="L149" i="25" s="1"/>
  <c r="F150" i="25" s="1"/>
  <c r="D210" i="36" l="1"/>
  <c r="B210" i="36" s="1"/>
  <c r="E210" i="36"/>
  <c r="F210" i="36" s="1"/>
  <c r="G210" i="36" s="1"/>
  <c r="C211" i="36" s="1"/>
  <c r="G150" i="25"/>
  <c r="I150" i="25"/>
  <c r="K150" i="25" s="1"/>
  <c r="L150" i="25" s="1"/>
  <c r="F151" i="25" s="1"/>
  <c r="D211" i="36" l="1"/>
  <c r="B211" i="36" s="1"/>
  <c r="E211" i="36"/>
  <c r="F211" i="36" s="1"/>
  <c r="G211" i="36" s="1"/>
  <c r="C212" i="36" s="1"/>
  <c r="G151" i="25"/>
  <c r="I151" i="25"/>
  <c r="K151" i="25" s="1"/>
  <c r="L151" i="25" s="1"/>
  <c r="F152" i="25" s="1"/>
  <c r="D212" i="36" l="1"/>
  <c r="B212" i="36" s="1"/>
  <c r="E212" i="36"/>
  <c r="F212" i="36" s="1"/>
  <c r="G212" i="36" s="1"/>
  <c r="C213" i="36" s="1"/>
  <c r="G152" i="25"/>
  <c r="I152" i="25"/>
  <c r="K152" i="25" s="1"/>
  <c r="L152" i="25" s="1"/>
  <c r="F153" i="25" s="1"/>
  <c r="D213" i="36" l="1"/>
  <c r="B213" i="36" s="1"/>
  <c r="E213" i="36"/>
  <c r="F213" i="36" s="1"/>
  <c r="G213" i="36" s="1"/>
  <c r="C214" i="36" s="1"/>
  <c r="G153" i="25"/>
  <c r="I153" i="25"/>
  <c r="K153" i="25" s="1"/>
  <c r="L153" i="25" s="1"/>
  <c r="F154" i="25" s="1"/>
  <c r="D214" i="36" l="1"/>
  <c r="B214" i="36" s="1"/>
  <c r="E214" i="36"/>
  <c r="F214" i="36" s="1"/>
  <c r="G214" i="36" s="1"/>
  <c r="C215" i="36" s="1"/>
  <c r="G154" i="25"/>
  <c r="I154" i="25"/>
  <c r="K154" i="25" s="1"/>
  <c r="L154" i="25" s="1"/>
  <c r="F155" i="25" s="1"/>
  <c r="D215" i="36" l="1"/>
  <c r="B215" i="36" s="1"/>
  <c r="E215" i="36"/>
  <c r="F215" i="36" s="1"/>
  <c r="G215" i="36" s="1"/>
  <c r="C216" i="36" s="1"/>
  <c r="G155" i="25"/>
  <c r="I155" i="25"/>
  <c r="K155" i="25" s="1"/>
  <c r="L155" i="25" s="1"/>
  <c r="F156" i="25" s="1"/>
  <c r="D216" i="36" l="1"/>
  <c r="B216" i="36" s="1"/>
  <c r="E216" i="36"/>
  <c r="F216" i="36" s="1"/>
  <c r="G216" i="36" s="1"/>
  <c r="C217" i="36" s="1"/>
  <c r="G156" i="25"/>
  <c r="I156" i="25"/>
  <c r="K156" i="25" s="1"/>
  <c r="L156" i="25" s="1"/>
  <c r="F157" i="25" s="1"/>
  <c r="D217" i="36" l="1"/>
  <c r="B217" i="36" s="1"/>
  <c r="E217" i="36"/>
  <c r="F217" i="36" s="1"/>
  <c r="G217" i="36" s="1"/>
  <c r="C218" i="36" s="1"/>
  <c r="G157" i="25"/>
  <c r="I157" i="25"/>
  <c r="K157" i="25" s="1"/>
  <c r="L157" i="25" s="1"/>
  <c r="F158" i="25" s="1"/>
  <c r="D218" i="36" l="1"/>
  <c r="B218" i="36" s="1"/>
  <c r="E218" i="36"/>
  <c r="F218" i="36" s="1"/>
  <c r="G218" i="36" s="1"/>
  <c r="C219" i="36" s="1"/>
  <c r="G158" i="25"/>
  <c r="I158" i="25"/>
  <c r="K158" i="25" s="1"/>
  <c r="L158" i="25" s="1"/>
  <c r="F159" i="25" s="1"/>
  <c r="D219" i="36" l="1"/>
  <c r="B219" i="36" s="1"/>
  <c r="E219" i="36"/>
  <c r="F219" i="36" s="1"/>
  <c r="G219" i="36" s="1"/>
  <c r="C220" i="36" s="1"/>
  <c r="G159" i="25"/>
  <c r="I159" i="25"/>
  <c r="K159" i="25" s="1"/>
  <c r="L159" i="25" s="1"/>
  <c r="F160" i="25" s="1"/>
  <c r="D220" i="36" l="1"/>
  <c r="B220" i="36" s="1"/>
  <c r="E220" i="36"/>
  <c r="F220" i="36" s="1"/>
  <c r="G220" i="36" s="1"/>
  <c r="C221" i="36" s="1"/>
  <c r="G160" i="25"/>
  <c r="I160" i="25"/>
  <c r="K160" i="25" s="1"/>
  <c r="L160" i="25" s="1"/>
  <c r="F161" i="25" s="1"/>
  <c r="D221" i="36" l="1"/>
  <c r="B221" i="36" s="1"/>
  <c r="E221" i="36"/>
  <c r="F221" i="36" s="1"/>
  <c r="G221" i="36" s="1"/>
  <c r="C222" i="36" s="1"/>
  <c r="G161" i="25"/>
  <c r="I161" i="25"/>
  <c r="K161" i="25" s="1"/>
  <c r="L161" i="25" s="1"/>
  <c r="F162" i="25" s="1"/>
  <c r="E222" i="36" l="1"/>
  <c r="F222" i="36" s="1"/>
  <c r="G222" i="36" s="1"/>
  <c r="C223" i="36" s="1"/>
  <c r="D222" i="36"/>
  <c r="B222" i="36" s="1"/>
  <c r="G162" i="25"/>
  <c r="I162" i="25"/>
  <c r="K162" i="25" s="1"/>
  <c r="L162" i="25" s="1"/>
  <c r="F163" i="25" s="1"/>
  <c r="D223" i="36" l="1"/>
  <c r="B223" i="36" s="1"/>
  <c r="E223" i="36"/>
  <c r="F223" i="36" s="1"/>
  <c r="G223" i="36" s="1"/>
  <c r="C224" i="36" s="1"/>
  <c r="G163" i="25"/>
  <c r="I163" i="25"/>
  <c r="K163" i="25" s="1"/>
  <c r="L163" i="25" s="1"/>
  <c r="F164" i="25" s="1"/>
  <c r="D224" i="36" l="1"/>
  <c r="B224" i="36" s="1"/>
  <c r="E224" i="36"/>
  <c r="F224" i="36" s="1"/>
  <c r="G224" i="36" s="1"/>
  <c r="C225" i="36" s="1"/>
  <c r="G164" i="25"/>
  <c r="I164" i="25"/>
  <c r="K164" i="25" s="1"/>
  <c r="L164" i="25" s="1"/>
  <c r="F165" i="25" s="1"/>
  <c r="D225" i="36" l="1"/>
  <c r="B225" i="36" s="1"/>
  <c r="E225" i="36"/>
  <c r="F225" i="36" s="1"/>
  <c r="G225" i="36" s="1"/>
  <c r="C226" i="36" s="1"/>
  <c r="G165" i="25"/>
  <c r="I165" i="25"/>
  <c r="K165" i="25" s="1"/>
  <c r="L165" i="25" s="1"/>
  <c r="F166" i="25" s="1"/>
  <c r="D226" i="36" l="1"/>
  <c r="B226" i="36" s="1"/>
  <c r="E226" i="36"/>
  <c r="F226" i="36" s="1"/>
  <c r="G226" i="36" s="1"/>
  <c r="C227" i="36" s="1"/>
  <c r="G166" i="25"/>
  <c r="I166" i="25"/>
  <c r="K166" i="25" s="1"/>
  <c r="L166" i="25" s="1"/>
  <c r="F167" i="25" s="1"/>
  <c r="D227" i="36" l="1"/>
  <c r="B227" i="36" s="1"/>
  <c r="E227" i="36"/>
  <c r="F227" i="36" s="1"/>
  <c r="G227" i="36" s="1"/>
  <c r="C228" i="36" s="1"/>
  <c r="G167" i="25"/>
  <c r="I167" i="25"/>
  <c r="K167" i="25" s="1"/>
  <c r="L167" i="25" s="1"/>
  <c r="F168" i="25" s="1"/>
  <c r="D228" i="36" l="1"/>
  <c r="B228" i="36" s="1"/>
  <c r="E228" i="36"/>
  <c r="F228" i="36" s="1"/>
  <c r="G228" i="36" s="1"/>
  <c r="C229" i="36" s="1"/>
  <c r="G168" i="25"/>
  <c r="I168" i="25"/>
  <c r="K168" i="25" s="1"/>
  <c r="L168" i="25" s="1"/>
  <c r="F169" i="25" s="1"/>
  <c r="D229" i="36" l="1"/>
  <c r="B229" i="36" s="1"/>
  <c r="E229" i="36"/>
  <c r="F229" i="36" s="1"/>
  <c r="G229" i="36" s="1"/>
  <c r="C230" i="36" s="1"/>
  <c r="G169" i="25"/>
  <c r="I169" i="25"/>
  <c r="K169" i="25" s="1"/>
  <c r="L169" i="25" s="1"/>
  <c r="F170" i="25" s="1"/>
  <c r="D230" i="36" l="1"/>
  <c r="B230" i="36" s="1"/>
  <c r="E230" i="36"/>
  <c r="F230" i="36" s="1"/>
  <c r="G230" i="36" s="1"/>
  <c r="C231" i="36" s="1"/>
  <c r="G170" i="25"/>
  <c r="I170" i="25"/>
  <c r="K170" i="25" s="1"/>
  <c r="L170" i="25" s="1"/>
  <c r="F171" i="25" s="1"/>
  <c r="D231" i="36" l="1"/>
  <c r="B231" i="36" s="1"/>
  <c r="E231" i="36"/>
  <c r="F231" i="36" s="1"/>
  <c r="G231" i="36" s="1"/>
  <c r="C232" i="36" s="1"/>
  <c r="G171" i="25"/>
  <c r="I171" i="25"/>
  <c r="K171" i="25" s="1"/>
  <c r="L171" i="25" s="1"/>
  <c r="F172" i="25" s="1"/>
  <c r="D232" i="36" l="1"/>
  <c r="B232" i="36" s="1"/>
  <c r="E232" i="36"/>
  <c r="F232" i="36" s="1"/>
  <c r="G232" i="36" s="1"/>
  <c r="C233" i="36" s="1"/>
  <c r="G172" i="25"/>
  <c r="I172" i="25"/>
  <c r="K172" i="25" s="1"/>
  <c r="L172" i="25" s="1"/>
  <c r="F173" i="25" s="1"/>
  <c r="D233" i="36" l="1"/>
  <c r="B233" i="36" s="1"/>
  <c r="E233" i="36"/>
  <c r="F233" i="36" s="1"/>
  <c r="G233" i="36" s="1"/>
  <c r="C234" i="36" s="1"/>
  <c r="G173" i="25"/>
  <c r="I173" i="25"/>
  <c r="K173" i="25" s="1"/>
  <c r="L173" i="25" s="1"/>
  <c r="F174" i="25" s="1"/>
  <c r="D234" i="36" l="1"/>
  <c r="B234" i="36" s="1"/>
  <c r="E234" i="36"/>
  <c r="F234" i="36" s="1"/>
  <c r="G234" i="36" s="1"/>
  <c r="C235" i="36" s="1"/>
  <c r="G174" i="25"/>
  <c r="I174" i="25"/>
  <c r="K174" i="25" s="1"/>
  <c r="L174" i="25" s="1"/>
  <c r="F175" i="25" s="1"/>
  <c r="D235" i="36" l="1"/>
  <c r="B235" i="36" s="1"/>
  <c r="E235" i="36"/>
  <c r="F235" i="36" s="1"/>
  <c r="G235" i="36" s="1"/>
  <c r="C236" i="36" s="1"/>
  <c r="G175" i="25"/>
  <c r="I175" i="25"/>
  <c r="K175" i="25" s="1"/>
  <c r="L175" i="25" s="1"/>
  <c r="F176" i="25" s="1"/>
  <c r="D236" i="36" l="1"/>
  <c r="B236" i="36" s="1"/>
  <c r="E236" i="36"/>
  <c r="F236" i="36" s="1"/>
  <c r="G236" i="36" s="1"/>
  <c r="C237" i="36" s="1"/>
  <c r="G176" i="25"/>
  <c r="I176" i="25"/>
  <c r="K176" i="25" s="1"/>
  <c r="L176" i="25" s="1"/>
  <c r="F177" i="25" s="1"/>
  <c r="D237" i="36" l="1"/>
  <c r="B237" i="36" s="1"/>
  <c r="E237" i="36"/>
  <c r="F237" i="36" s="1"/>
  <c r="G237" i="36" s="1"/>
  <c r="C238" i="36" s="1"/>
  <c r="G177" i="25"/>
  <c r="I177" i="25"/>
  <c r="K177" i="25" s="1"/>
  <c r="L177" i="25" s="1"/>
  <c r="F178" i="25" s="1"/>
  <c r="D238" i="36" l="1"/>
  <c r="B238" i="36" s="1"/>
  <c r="E238" i="36"/>
  <c r="F238" i="36" s="1"/>
  <c r="G238" i="36" s="1"/>
  <c r="C239" i="36" s="1"/>
  <c r="G178" i="25"/>
  <c r="I178" i="25"/>
  <c r="K178" i="25" s="1"/>
  <c r="L178" i="25" s="1"/>
  <c r="F179" i="25" s="1"/>
  <c r="D239" i="36" l="1"/>
  <c r="B239" i="36" s="1"/>
  <c r="E239" i="36"/>
  <c r="F239" i="36" s="1"/>
  <c r="G239" i="36" s="1"/>
  <c r="C240" i="36" s="1"/>
  <c r="G179" i="25"/>
  <c r="I179" i="25"/>
  <c r="K179" i="25" s="1"/>
  <c r="L179" i="25" s="1"/>
  <c r="F180" i="25" s="1"/>
  <c r="E240" i="36" l="1"/>
  <c r="F240" i="36" s="1"/>
  <c r="G240" i="36" s="1"/>
  <c r="C241" i="36" s="1"/>
  <c r="D240" i="36"/>
  <c r="B240" i="36" s="1"/>
  <c r="G180" i="25"/>
  <c r="I180" i="25"/>
  <c r="K180" i="25" s="1"/>
  <c r="L180" i="25" s="1"/>
  <c r="F181" i="25" s="1"/>
  <c r="D241" i="36" l="1"/>
  <c r="B241" i="36" s="1"/>
  <c r="E241" i="36"/>
  <c r="F241" i="36" s="1"/>
  <c r="G241" i="36" s="1"/>
  <c r="C242" i="36" s="1"/>
  <c r="G181" i="25"/>
  <c r="I181" i="25"/>
  <c r="K181" i="25" s="1"/>
  <c r="L181" i="25" s="1"/>
  <c r="F182" i="25" s="1"/>
  <c r="D242" i="36" l="1"/>
  <c r="B242" i="36" s="1"/>
  <c r="E242" i="36"/>
  <c r="F242" i="36" s="1"/>
  <c r="G242" i="36" s="1"/>
  <c r="C243" i="36" s="1"/>
  <c r="G182" i="25"/>
  <c r="I182" i="25"/>
  <c r="K182" i="25" s="1"/>
  <c r="L182" i="25" s="1"/>
  <c r="F183" i="25" s="1"/>
  <c r="D243" i="36" l="1"/>
  <c r="B243" i="36" s="1"/>
  <c r="E243" i="36"/>
  <c r="F243" i="36" s="1"/>
  <c r="G243" i="36" s="1"/>
  <c r="C244" i="36" s="1"/>
  <c r="G183" i="25"/>
  <c r="I183" i="25"/>
  <c r="K183" i="25" s="1"/>
  <c r="L183" i="25" s="1"/>
  <c r="F184" i="25" s="1"/>
  <c r="D244" i="36" l="1"/>
  <c r="B244" i="36" s="1"/>
  <c r="E244" i="36"/>
  <c r="F244" i="36" s="1"/>
  <c r="G244" i="36" s="1"/>
  <c r="C245" i="36" s="1"/>
  <c r="G184" i="25"/>
  <c r="I184" i="25"/>
  <c r="K184" i="25" s="1"/>
  <c r="L184" i="25" s="1"/>
  <c r="F185" i="25" s="1"/>
  <c r="D245" i="36" l="1"/>
  <c r="B245" i="36" s="1"/>
  <c r="E245" i="36"/>
  <c r="F245" i="36" s="1"/>
  <c r="G245" i="36" s="1"/>
  <c r="C246" i="36" s="1"/>
  <c r="G185" i="25"/>
  <c r="I185" i="25"/>
  <c r="K185" i="25" s="1"/>
  <c r="L185" i="25" s="1"/>
  <c r="F186" i="25" s="1"/>
  <c r="D246" i="36" l="1"/>
  <c r="B246" i="36" s="1"/>
  <c r="E246" i="36"/>
  <c r="F246" i="36" s="1"/>
  <c r="G246" i="36" s="1"/>
  <c r="C247" i="36" s="1"/>
  <c r="G186" i="25"/>
  <c r="I186" i="25"/>
  <c r="K186" i="25" s="1"/>
  <c r="L186" i="25" s="1"/>
  <c r="F187" i="25" s="1"/>
  <c r="D247" i="36" l="1"/>
  <c r="B247" i="36" s="1"/>
  <c r="E247" i="36"/>
  <c r="F247" i="36" s="1"/>
  <c r="G247" i="36" s="1"/>
  <c r="C248" i="36" s="1"/>
  <c r="G187" i="25"/>
  <c r="I187" i="25"/>
  <c r="K187" i="25" s="1"/>
  <c r="L187" i="25" s="1"/>
  <c r="F188" i="25" s="1"/>
  <c r="D248" i="36" l="1"/>
  <c r="B248" i="36" s="1"/>
  <c r="E248" i="36"/>
  <c r="F248" i="36" s="1"/>
  <c r="G248" i="36" s="1"/>
  <c r="C249" i="36" s="1"/>
  <c r="G188" i="25"/>
  <c r="I188" i="25"/>
  <c r="K188" i="25" s="1"/>
  <c r="L188" i="25" s="1"/>
  <c r="F189" i="25" s="1"/>
  <c r="D249" i="36" l="1"/>
  <c r="B249" i="36" s="1"/>
  <c r="E249" i="36"/>
  <c r="F249" i="36" s="1"/>
  <c r="G249" i="36" s="1"/>
  <c r="C250" i="36" s="1"/>
  <c r="G189" i="25"/>
  <c r="I189" i="25"/>
  <c r="K189" i="25" s="1"/>
  <c r="L189" i="25" s="1"/>
  <c r="F190" i="25" s="1"/>
  <c r="D250" i="36" l="1"/>
  <c r="B250" i="36" s="1"/>
  <c r="E250" i="36"/>
  <c r="F250" i="36" s="1"/>
  <c r="G250" i="36" s="1"/>
  <c r="C251" i="36" s="1"/>
  <c r="G190" i="25"/>
  <c r="I190" i="25"/>
  <c r="K190" i="25" s="1"/>
  <c r="L190" i="25" s="1"/>
  <c r="F191" i="25" s="1"/>
  <c r="D251" i="36" l="1"/>
  <c r="B251" i="36" s="1"/>
  <c r="E251" i="36"/>
  <c r="F251" i="36" s="1"/>
  <c r="G251" i="36" s="1"/>
  <c r="C252" i="36" s="1"/>
  <c r="G191" i="25"/>
  <c r="I191" i="25"/>
  <c r="K191" i="25" s="1"/>
  <c r="L191" i="25" s="1"/>
  <c r="F192" i="25" s="1"/>
  <c r="D252" i="36" l="1"/>
  <c r="B252" i="36" s="1"/>
  <c r="E252" i="36"/>
  <c r="F252" i="36" s="1"/>
  <c r="G252" i="36" s="1"/>
  <c r="C253" i="36" s="1"/>
  <c r="G192" i="25"/>
  <c r="I192" i="25"/>
  <c r="K192" i="25" s="1"/>
  <c r="L192" i="25" s="1"/>
  <c r="F193" i="25" s="1"/>
  <c r="D253" i="36" l="1"/>
  <c r="B253" i="36" s="1"/>
  <c r="E253" i="36"/>
  <c r="F253" i="36" s="1"/>
  <c r="G253" i="36" s="1"/>
  <c r="C254" i="36" s="1"/>
  <c r="G193" i="25"/>
  <c r="I193" i="25"/>
  <c r="K193" i="25" s="1"/>
  <c r="L193" i="25" s="1"/>
  <c r="F194" i="25" s="1"/>
  <c r="D254" i="36" l="1"/>
  <c r="B254" i="36" s="1"/>
  <c r="E254" i="36"/>
  <c r="F254" i="36" s="1"/>
  <c r="G254" i="36" s="1"/>
  <c r="C255" i="36" s="1"/>
  <c r="G194" i="25"/>
  <c r="I194" i="25"/>
  <c r="K194" i="25" s="1"/>
  <c r="L194" i="25" s="1"/>
  <c r="F195" i="25" s="1"/>
  <c r="D255" i="36" l="1"/>
  <c r="B255" i="36" s="1"/>
  <c r="E255" i="36"/>
  <c r="F255" i="36" s="1"/>
  <c r="G255" i="36" s="1"/>
  <c r="C256" i="36" s="1"/>
  <c r="G195" i="25"/>
  <c r="I195" i="25"/>
  <c r="K195" i="25" s="1"/>
  <c r="L195" i="25" s="1"/>
  <c r="F196" i="25" s="1"/>
  <c r="D256" i="36" l="1"/>
  <c r="B256" i="36" s="1"/>
  <c r="E256" i="36"/>
  <c r="F256" i="36" s="1"/>
  <c r="G256" i="36" s="1"/>
  <c r="C257" i="36" s="1"/>
  <c r="G196" i="25"/>
  <c r="I196" i="25"/>
  <c r="K196" i="25" s="1"/>
  <c r="L196" i="25" s="1"/>
  <c r="F197" i="25" s="1"/>
  <c r="D257" i="36" l="1"/>
  <c r="B257" i="36" s="1"/>
  <c r="E257" i="36"/>
  <c r="F257" i="36" s="1"/>
  <c r="G257" i="36" s="1"/>
  <c r="C258" i="36" s="1"/>
  <c r="G197" i="25"/>
  <c r="I197" i="25"/>
  <c r="K197" i="25" s="1"/>
  <c r="L197" i="25" s="1"/>
  <c r="F198" i="25" s="1"/>
  <c r="E258" i="36" l="1"/>
  <c r="F258" i="36" s="1"/>
  <c r="G258" i="36" s="1"/>
  <c r="C259" i="36" s="1"/>
  <c r="D258" i="36"/>
  <c r="B258" i="36" s="1"/>
  <c r="G198" i="25"/>
  <c r="I198" i="25"/>
  <c r="K198" i="25" s="1"/>
  <c r="L198" i="25" s="1"/>
  <c r="F199" i="25" s="1"/>
  <c r="D259" i="36" l="1"/>
  <c r="B259" i="36" s="1"/>
  <c r="E259" i="36"/>
  <c r="F259" i="36" s="1"/>
  <c r="G259" i="36" s="1"/>
  <c r="C260" i="36" s="1"/>
  <c r="G199" i="25"/>
  <c r="I199" i="25"/>
  <c r="K199" i="25" s="1"/>
  <c r="L199" i="25" s="1"/>
  <c r="F200" i="25" s="1"/>
  <c r="D260" i="36" l="1"/>
  <c r="B260" i="36" s="1"/>
  <c r="E260" i="36"/>
  <c r="F260" i="36" s="1"/>
  <c r="G260" i="36" s="1"/>
  <c r="C261" i="36" s="1"/>
  <c r="G200" i="25"/>
  <c r="I200" i="25"/>
  <c r="K200" i="25" s="1"/>
  <c r="L200" i="25" s="1"/>
  <c r="F201" i="25" s="1"/>
  <c r="D261" i="36" l="1"/>
  <c r="B261" i="36" s="1"/>
  <c r="E261" i="36"/>
  <c r="F261" i="36" s="1"/>
  <c r="G261" i="36" s="1"/>
  <c r="C262" i="36" s="1"/>
  <c r="G201" i="25"/>
  <c r="I201" i="25"/>
  <c r="K201" i="25" s="1"/>
  <c r="L201" i="25" s="1"/>
  <c r="F202" i="25" s="1"/>
  <c r="D262" i="36" l="1"/>
  <c r="B262" i="36" s="1"/>
  <c r="E262" i="36"/>
  <c r="F262" i="36" s="1"/>
  <c r="G262" i="36" s="1"/>
  <c r="C263" i="36" s="1"/>
  <c r="G202" i="25"/>
  <c r="I202" i="25"/>
  <c r="K202" i="25" s="1"/>
  <c r="L202" i="25" s="1"/>
  <c r="F203" i="25" s="1"/>
  <c r="D263" i="36" l="1"/>
  <c r="B263" i="36" s="1"/>
  <c r="E263" i="36"/>
  <c r="F263" i="36" s="1"/>
  <c r="G263" i="36" s="1"/>
  <c r="C264" i="36" s="1"/>
  <c r="G203" i="25"/>
  <c r="I203" i="25"/>
  <c r="K203" i="25" s="1"/>
  <c r="L203" i="25" s="1"/>
  <c r="F204" i="25" s="1"/>
  <c r="D264" i="36" l="1"/>
  <c r="B264" i="36" s="1"/>
  <c r="E264" i="36"/>
  <c r="F264" i="36" s="1"/>
  <c r="G264" i="36" s="1"/>
  <c r="C265" i="36" s="1"/>
  <c r="G204" i="25"/>
  <c r="I204" i="25"/>
  <c r="K204" i="25" s="1"/>
  <c r="L204" i="25" s="1"/>
  <c r="F205" i="25" s="1"/>
  <c r="D265" i="36" l="1"/>
  <c r="B265" i="36" s="1"/>
  <c r="E265" i="36"/>
  <c r="F265" i="36" s="1"/>
  <c r="G265" i="36" s="1"/>
  <c r="C266" i="36" s="1"/>
  <c r="G205" i="25"/>
  <c r="I205" i="25"/>
  <c r="K205" i="25" s="1"/>
  <c r="L205" i="25" s="1"/>
  <c r="F206" i="25" s="1"/>
  <c r="D266" i="36" l="1"/>
  <c r="B266" i="36" s="1"/>
  <c r="E266" i="36"/>
  <c r="F266" i="36" s="1"/>
  <c r="G266" i="36" s="1"/>
  <c r="C267" i="36" s="1"/>
  <c r="G206" i="25"/>
  <c r="I206" i="25"/>
  <c r="K206" i="25" s="1"/>
  <c r="L206" i="25" s="1"/>
  <c r="F207" i="25" s="1"/>
  <c r="D267" i="36" l="1"/>
  <c r="B267" i="36" s="1"/>
  <c r="E267" i="36"/>
  <c r="F267" i="36" s="1"/>
  <c r="G267" i="36" s="1"/>
  <c r="C268" i="36" s="1"/>
  <c r="G207" i="25"/>
  <c r="I207" i="25"/>
  <c r="K207" i="25" s="1"/>
  <c r="L207" i="25" s="1"/>
  <c r="F208" i="25" s="1"/>
  <c r="D268" i="36" l="1"/>
  <c r="B268" i="36" s="1"/>
  <c r="E268" i="36"/>
  <c r="F268" i="36" s="1"/>
  <c r="G268" i="36" s="1"/>
  <c r="C269" i="36" s="1"/>
  <c r="G208" i="25"/>
  <c r="I208" i="25"/>
  <c r="K208" i="25" s="1"/>
  <c r="L208" i="25" s="1"/>
  <c r="F209" i="25" s="1"/>
  <c r="D269" i="36" l="1"/>
  <c r="B269" i="36" s="1"/>
  <c r="E269" i="36"/>
  <c r="F269" i="36" s="1"/>
  <c r="G269" i="36" s="1"/>
  <c r="C270" i="36" s="1"/>
  <c r="G209" i="25"/>
  <c r="I209" i="25"/>
  <c r="K209" i="25" s="1"/>
  <c r="L209" i="25" s="1"/>
  <c r="F210" i="25" s="1"/>
  <c r="D270" i="36" l="1"/>
  <c r="B270" i="36" s="1"/>
  <c r="E270" i="36"/>
  <c r="F270" i="36" s="1"/>
  <c r="G270" i="36" s="1"/>
  <c r="C271" i="36" s="1"/>
  <c r="G210" i="25"/>
  <c r="I210" i="25"/>
  <c r="K210" i="25" s="1"/>
  <c r="L210" i="25" s="1"/>
  <c r="F211" i="25" s="1"/>
  <c r="D271" i="36" l="1"/>
  <c r="B271" i="36" s="1"/>
  <c r="E271" i="36"/>
  <c r="F271" i="36" s="1"/>
  <c r="G271" i="36" s="1"/>
  <c r="C272" i="36" s="1"/>
  <c r="G211" i="25"/>
  <c r="I211" i="25"/>
  <c r="K211" i="25" s="1"/>
  <c r="L211" i="25" s="1"/>
  <c r="F212" i="25" s="1"/>
  <c r="E272" i="36" l="1"/>
  <c r="F272" i="36" s="1"/>
  <c r="G272" i="36" s="1"/>
  <c r="C273" i="36" s="1"/>
  <c r="D272" i="36"/>
  <c r="B272" i="36" s="1"/>
  <c r="G212" i="25"/>
  <c r="I212" i="25"/>
  <c r="K212" i="25" s="1"/>
  <c r="L212" i="25" s="1"/>
  <c r="F213" i="25" s="1"/>
  <c r="D273" i="36" l="1"/>
  <c r="B273" i="36" s="1"/>
  <c r="E273" i="36"/>
  <c r="F273" i="36" s="1"/>
  <c r="G273" i="36" s="1"/>
  <c r="C274" i="36" s="1"/>
  <c r="G213" i="25"/>
  <c r="I213" i="25"/>
  <c r="K213" i="25" s="1"/>
  <c r="L213" i="25" s="1"/>
  <c r="F214" i="25" s="1"/>
  <c r="D274" i="36" l="1"/>
  <c r="B274" i="36" s="1"/>
  <c r="E274" i="36"/>
  <c r="F274" i="36" s="1"/>
  <c r="G274" i="36" s="1"/>
  <c r="C275" i="36" s="1"/>
  <c r="G214" i="25"/>
  <c r="I214" i="25"/>
  <c r="K214" i="25" s="1"/>
  <c r="L214" i="25" s="1"/>
  <c r="F215" i="25" s="1"/>
  <c r="D275" i="36" l="1"/>
  <c r="B275" i="36" s="1"/>
  <c r="E275" i="36"/>
  <c r="F275" i="36" s="1"/>
  <c r="G275" i="36" s="1"/>
  <c r="C276" i="36" s="1"/>
  <c r="G215" i="25"/>
  <c r="I215" i="25"/>
  <c r="K215" i="25" s="1"/>
  <c r="L215" i="25" s="1"/>
  <c r="F216" i="25" s="1"/>
  <c r="D276" i="36" l="1"/>
  <c r="B276" i="36" s="1"/>
  <c r="E276" i="36"/>
  <c r="F276" i="36" s="1"/>
  <c r="G276" i="36" s="1"/>
  <c r="C277" i="36" s="1"/>
  <c r="G216" i="25"/>
  <c r="I216" i="25"/>
  <c r="K216" i="25" s="1"/>
  <c r="L216" i="25" s="1"/>
  <c r="F217" i="25" s="1"/>
  <c r="D277" i="36" l="1"/>
  <c r="B277" i="36" s="1"/>
  <c r="E277" i="36"/>
  <c r="F277" i="36" s="1"/>
  <c r="G277" i="36" s="1"/>
  <c r="C278" i="36" s="1"/>
  <c r="G217" i="25"/>
  <c r="I217" i="25"/>
  <c r="K217" i="25" s="1"/>
  <c r="L217" i="25" s="1"/>
  <c r="F218" i="25" s="1"/>
  <c r="D278" i="36" l="1"/>
  <c r="B278" i="36" s="1"/>
  <c r="E278" i="36"/>
  <c r="F278" i="36" s="1"/>
  <c r="G278" i="36" s="1"/>
  <c r="C279" i="36" s="1"/>
  <c r="G218" i="25"/>
  <c r="I218" i="25"/>
  <c r="K218" i="25" s="1"/>
  <c r="L218" i="25" s="1"/>
  <c r="F219" i="25" s="1"/>
  <c r="D279" i="36" l="1"/>
  <c r="B279" i="36" s="1"/>
  <c r="E279" i="36"/>
  <c r="F279" i="36" s="1"/>
  <c r="G279" i="36" s="1"/>
  <c r="C280" i="36" s="1"/>
  <c r="G219" i="25"/>
  <c r="I219" i="25"/>
  <c r="K219" i="25" s="1"/>
  <c r="L219" i="25" s="1"/>
  <c r="F220" i="25" s="1"/>
  <c r="D280" i="36" l="1"/>
  <c r="B280" i="36" s="1"/>
  <c r="E280" i="36"/>
  <c r="F280" i="36" s="1"/>
  <c r="G280" i="36" s="1"/>
  <c r="C281" i="36" s="1"/>
  <c r="G220" i="25"/>
  <c r="I220" i="25"/>
  <c r="K220" i="25" s="1"/>
  <c r="L220" i="25" s="1"/>
  <c r="F221" i="25" s="1"/>
  <c r="D281" i="36" l="1"/>
  <c r="B281" i="36" s="1"/>
  <c r="E281" i="36"/>
  <c r="F281" i="36" s="1"/>
  <c r="G281" i="36" s="1"/>
  <c r="C282" i="36" s="1"/>
  <c r="G221" i="25"/>
  <c r="I221" i="25"/>
  <c r="K221" i="25" s="1"/>
  <c r="L221" i="25" s="1"/>
  <c r="F222" i="25" s="1"/>
  <c r="D282" i="36" l="1"/>
  <c r="B282" i="36" s="1"/>
  <c r="E282" i="36"/>
  <c r="F282" i="36" s="1"/>
  <c r="G282" i="36" s="1"/>
  <c r="C283" i="36" s="1"/>
  <c r="G222" i="25"/>
  <c r="I222" i="25"/>
  <c r="K222" i="25" s="1"/>
  <c r="L222" i="25" s="1"/>
  <c r="F223" i="25" s="1"/>
  <c r="D283" i="36" l="1"/>
  <c r="B283" i="36" s="1"/>
  <c r="E283" i="36"/>
  <c r="F283" i="36" s="1"/>
  <c r="G283" i="36" s="1"/>
  <c r="C284" i="36" s="1"/>
  <c r="G223" i="25"/>
  <c r="I223" i="25"/>
  <c r="K223" i="25" s="1"/>
  <c r="L223" i="25" s="1"/>
  <c r="F224" i="25" s="1"/>
  <c r="D284" i="36" l="1"/>
  <c r="B284" i="36" s="1"/>
  <c r="E284" i="36"/>
  <c r="F284" i="36" s="1"/>
  <c r="G284" i="36" s="1"/>
  <c r="C285" i="36" s="1"/>
  <c r="G224" i="25"/>
  <c r="I224" i="25"/>
  <c r="K224" i="25" s="1"/>
  <c r="L224" i="25" s="1"/>
  <c r="F225" i="25" s="1"/>
  <c r="D285" i="36" l="1"/>
  <c r="B285" i="36" s="1"/>
  <c r="E285" i="36"/>
  <c r="F285" i="36" s="1"/>
  <c r="G285" i="36" s="1"/>
  <c r="C286" i="36" s="1"/>
  <c r="G225" i="25"/>
  <c r="I225" i="25"/>
  <c r="K225" i="25" s="1"/>
  <c r="L225" i="25" s="1"/>
  <c r="F226" i="25" s="1"/>
  <c r="D286" i="36" l="1"/>
  <c r="B286" i="36" s="1"/>
  <c r="E286" i="36"/>
  <c r="F286" i="36" s="1"/>
  <c r="G286" i="36" s="1"/>
  <c r="C287" i="36" s="1"/>
  <c r="G226" i="25"/>
  <c r="I226" i="25"/>
  <c r="K226" i="25" s="1"/>
  <c r="L226" i="25" s="1"/>
  <c r="F227" i="25" s="1"/>
  <c r="D287" i="36" l="1"/>
  <c r="B287" i="36" s="1"/>
  <c r="E287" i="36"/>
  <c r="F287" i="36" s="1"/>
  <c r="G287" i="36" s="1"/>
  <c r="C288" i="36" s="1"/>
  <c r="G227" i="25"/>
  <c r="I227" i="25"/>
  <c r="K227" i="25" s="1"/>
  <c r="L227" i="25" s="1"/>
  <c r="F228" i="25" s="1"/>
  <c r="D288" i="36" l="1"/>
  <c r="B288" i="36" s="1"/>
  <c r="E288" i="36"/>
  <c r="F288" i="36" s="1"/>
  <c r="G288" i="36" s="1"/>
  <c r="C289" i="36" s="1"/>
  <c r="G228" i="25"/>
  <c r="I228" i="25"/>
  <c r="K228" i="25" s="1"/>
  <c r="L228" i="25" s="1"/>
  <c r="F229" i="25" s="1"/>
  <c r="D289" i="36" l="1"/>
  <c r="B289" i="36" s="1"/>
  <c r="E289" i="36"/>
  <c r="F289" i="36" s="1"/>
  <c r="G289" i="36" s="1"/>
  <c r="C290" i="36" s="1"/>
  <c r="G229" i="25"/>
  <c r="I229" i="25"/>
  <c r="K229" i="25" s="1"/>
  <c r="L229" i="25" s="1"/>
  <c r="F230" i="25" s="1"/>
  <c r="D290" i="36" l="1"/>
  <c r="B290" i="36" s="1"/>
  <c r="E290" i="36"/>
  <c r="F290" i="36" s="1"/>
  <c r="G290" i="36" s="1"/>
  <c r="C291" i="36" s="1"/>
  <c r="G230" i="25"/>
  <c r="I230" i="25"/>
  <c r="K230" i="25" s="1"/>
  <c r="L230" i="25" s="1"/>
  <c r="F231" i="25" s="1"/>
  <c r="D291" i="36" l="1"/>
  <c r="B291" i="36" s="1"/>
  <c r="E291" i="36"/>
  <c r="F291" i="36" s="1"/>
  <c r="G291" i="36" s="1"/>
  <c r="C292" i="36" s="1"/>
  <c r="G231" i="25"/>
  <c r="I231" i="25"/>
  <c r="K231" i="25" s="1"/>
  <c r="L231" i="25" s="1"/>
  <c r="F232" i="25" s="1"/>
  <c r="D292" i="36" l="1"/>
  <c r="B292" i="36" s="1"/>
  <c r="E292" i="36"/>
  <c r="F292" i="36" s="1"/>
  <c r="G292" i="36" s="1"/>
  <c r="C293" i="36" s="1"/>
  <c r="G232" i="25"/>
  <c r="I232" i="25"/>
  <c r="K232" i="25" s="1"/>
  <c r="L232" i="25" s="1"/>
  <c r="F233" i="25" s="1"/>
  <c r="D293" i="36" l="1"/>
  <c r="B293" i="36" s="1"/>
  <c r="E293" i="36"/>
  <c r="F293" i="36" s="1"/>
  <c r="G293" i="36" s="1"/>
  <c r="C294" i="36" s="1"/>
  <c r="G233" i="25"/>
  <c r="I233" i="25"/>
  <c r="K233" i="25" s="1"/>
  <c r="L233" i="25" s="1"/>
  <c r="F234" i="25" s="1"/>
  <c r="E294" i="36" l="1"/>
  <c r="F294" i="36" s="1"/>
  <c r="G294" i="36" s="1"/>
  <c r="C295" i="36" s="1"/>
  <c r="D294" i="36"/>
  <c r="B294" i="36" s="1"/>
  <c r="G234" i="25"/>
  <c r="I234" i="25"/>
  <c r="K234" i="25" s="1"/>
  <c r="L234" i="25" s="1"/>
  <c r="F235" i="25" s="1"/>
  <c r="D295" i="36" l="1"/>
  <c r="B295" i="36" s="1"/>
  <c r="E295" i="36"/>
  <c r="F295" i="36" s="1"/>
  <c r="G295" i="36" s="1"/>
  <c r="C296" i="36" s="1"/>
  <c r="G235" i="25"/>
  <c r="I235" i="25"/>
  <c r="K235" i="25" s="1"/>
  <c r="L235" i="25" s="1"/>
  <c r="F236" i="25" s="1"/>
  <c r="D296" i="36" l="1"/>
  <c r="B296" i="36" s="1"/>
  <c r="E296" i="36"/>
  <c r="F296" i="36" s="1"/>
  <c r="G296" i="36" s="1"/>
  <c r="C297" i="36" s="1"/>
  <c r="G236" i="25"/>
  <c r="I236" i="25"/>
  <c r="K236" i="25" s="1"/>
  <c r="L236" i="25" s="1"/>
  <c r="F237" i="25" s="1"/>
  <c r="D297" i="36" l="1"/>
  <c r="B297" i="36" s="1"/>
  <c r="E297" i="36"/>
  <c r="F297" i="36" s="1"/>
  <c r="G297" i="36" s="1"/>
  <c r="C298" i="36" s="1"/>
  <c r="G237" i="25"/>
  <c r="I237" i="25"/>
  <c r="K237" i="25" s="1"/>
  <c r="L237" i="25" s="1"/>
  <c r="F238" i="25" s="1"/>
  <c r="D298" i="36" l="1"/>
  <c r="B298" i="36" s="1"/>
  <c r="E298" i="36"/>
  <c r="F298" i="36" s="1"/>
  <c r="G298" i="36" s="1"/>
  <c r="C299" i="36" s="1"/>
  <c r="G238" i="25"/>
  <c r="I238" i="25"/>
  <c r="K238" i="25" s="1"/>
  <c r="L238" i="25" s="1"/>
  <c r="F239" i="25" s="1"/>
  <c r="D299" i="36" l="1"/>
  <c r="B299" i="36" s="1"/>
  <c r="E299" i="36"/>
  <c r="F299" i="36" s="1"/>
  <c r="G299" i="36" s="1"/>
  <c r="C300" i="36" s="1"/>
  <c r="G239" i="25"/>
  <c r="I239" i="25"/>
  <c r="K239" i="25" s="1"/>
  <c r="L239" i="25" s="1"/>
  <c r="F240" i="25" s="1"/>
  <c r="D300" i="36" l="1"/>
  <c r="B300" i="36" s="1"/>
  <c r="E300" i="36"/>
  <c r="F300" i="36" s="1"/>
  <c r="G300" i="36" s="1"/>
  <c r="C301" i="36" s="1"/>
  <c r="G240" i="25"/>
  <c r="I240" i="25"/>
  <c r="K240" i="25" s="1"/>
  <c r="L240" i="25" s="1"/>
  <c r="F241" i="25" s="1"/>
  <c r="D301" i="36" l="1"/>
  <c r="B301" i="36" s="1"/>
  <c r="E301" i="36"/>
  <c r="F301" i="36" s="1"/>
  <c r="G301" i="36" s="1"/>
  <c r="C302" i="36" s="1"/>
  <c r="G241" i="25"/>
  <c r="I241" i="25"/>
  <c r="K241" i="25" s="1"/>
  <c r="L241" i="25" s="1"/>
  <c r="F242" i="25" s="1"/>
  <c r="D302" i="36" l="1"/>
  <c r="B302" i="36" s="1"/>
  <c r="E302" i="36"/>
  <c r="F302" i="36" s="1"/>
  <c r="G302" i="36" s="1"/>
  <c r="C303" i="36" s="1"/>
  <c r="G242" i="25"/>
  <c r="I242" i="25"/>
  <c r="K242" i="25" s="1"/>
  <c r="L242" i="25" s="1"/>
  <c r="F243" i="25" s="1"/>
  <c r="D303" i="36" l="1"/>
  <c r="B303" i="36" s="1"/>
  <c r="E303" i="36"/>
  <c r="F303" i="36" s="1"/>
  <c r="G303" i="36" s="1"/>
  <c r="C304" i="36" s="1"/>
  <c r="G243" i="25"/>
  <c r="I243" i="25"/>
  <c r="K243" i="25" s="1"/>
  <c r="L243" i="25" s="1"/>
  <c r="F244" i="25" s="1"/>
  <c r="D304" i="36" l="1"/>
  <c r="B304" i="36" s="1"/>
  <c r="E304" i="36"/>
  <c r="F304" i="36" s="1"/>
  <c r="G304" i="36" s="1"/>
  <c r="C305" i="36" s="1"/>
  <c r="G244" i="25"/>
  <c r="I244" i="25"/>
  <c r="K244" i="25" s="1"/>
  <c r="L244" i="25" s="1"/>
  <c r="F245" i="25" s="1"/>
  <c r="D305" i="36" l="1"/>
  <c r="B305" i="36" s="1"/>
  <c r="E305" i="36"/>
  <c r="F305" i="36" s="1"/>
  <c r="G305" i="36" s="1"/>
  <c r="C306" i="36" s="1"/>
  <c r="G245" i="25"/>
  <c r="I245" i="25"/>
  <c r="K245" i="25" s="1"/>
  <c r="L245" i="25" s="1"/>
  <c r="F246" i="25" s="1"/>
  <c r="D306" i="36" l="1"/>
  <c r="B306" i="36" s="1"/>
  <c r="E306" i="36"/>
  <c r="F306" i="36" s="1"/>
  <c r="G306" i="36" s="1"/>
  <c r="C307" i="36" s="1"/>
  <c r="G246" i="25"/>
  <c r="I246" i="25"/>
  <c r="K246" i="25" s="1"/>
  <c r="L246" i="25" s="1"/>
  <c r="F247" i="25" s="1"/>
  <c r="D307" i="36" l="1"/>
  <c r="B307" i="36" s="1"/>
  <c r="E307" i="36"/>
  <c r="F307" i="36" s="1"/>
  <c r="G307" i="36" s="1"/>
  <c r="C308" i="36" s="1"/>
  <c r="G247" i="25"/>
  <c r="I247" i="25"/>
  <c r="K247" i="25" s="1"/>
  <c r="L247" i="25" s="1"/>
  <c r="F248" i="25" s="1"/>
  <c r="D308" i="36" l="1"/>
  <c r="B308" i="36" s="1"/>
  <c r="E308" i="36"/>
  <c r="F308" i="36" s="1"/>
  <c r="G308" i="36" s="1"/>
  <c r="C309" i="36" s="1"/>
  <c r="G248" i="25"/>
  <c r="I248" i="25"/>
  <c r="K248" i="25" s="1"/>
  <c r="L248" i="25" s="1"/>
  <c r="F249" i="25" s="1"/>
  <c r="D309" i="36" l="1"/>
  <c r="B309" i="36" s="1"/>
  <c r="E309" i="36"/>
  <c r="F309" i="36" s="1"/>
  <c r="G309" i="36" s="1"/>
  <c r="C310" i="36" s="1"/>
  <c r="G249" i="25"/>
  <c r="I249" i="25"/>
  <c r="K249" i="25" s="1"/>
  <c r="L249" i="25" s="1"/>
  <c r="F250" i="25" s="1"/>
  <c r="D310" i="36" l="1"/>
  <c r="B310" i="36" s="1"/>
  <c r="E310" i="36"/>
  <c r="F310" i="36" s="1"/>
  <c r="G310" i="36" s="1"/>
  <c r="C311" i="36" s="1"/>
  <c r="G250" i="25"/>
  <c r="I250" i="25"/>
  <c r="K250" i="25" s="1"/>
  <c r="L250" i="25" s="1"/>
  <c r="F251" i="25" s="1"/>
  <c r="D311" i="36" l="1"/>
  <c r="B311" i="36" s="1"/>
  <c r="E311" i="36"/>
  <c r="F311" i="36" s="1"/>
  <c r="G311" i="36" s="1"/>
  <c r="C312" i="36" s="1"/>
  <c r="G251" i="25"/>
  <c r="I251" i="25"/>
  <c r="K251" i="25" s="1"/>
  <c r="L251" i="25" s="1"/>
  <c r="F252" i="25" s="1"/>
  <c r="E312" i="36" l="1"/>
  <c r="F312" i="36" s="1"/>
  <c r="G312" i="36" s="1"/>
  <c r="C313" i="36" s="1"/>
  <c r="D312" i="36"/>
  <c r="B312" i="36" s="1"/>
  <c r="G252" i="25"/>
  <c r="I252" i="25"/>
  <c r="K252" i="25" s="1"/>
  <c r="L252" i="25" s="1"/>
  <c r="F253" i="25" s="1"/>
  <c r="D313" i="36" l="1"/>
  <c r="B313" i="36" s="1"/>
  <c r="E313" i="36"/>
  <c r="F313" i="36" s="1"/>
  <c r="G313" i="36" s="1"/>
  <c r="C314" i="36" s="1"/>
  <c r="G253" i="25"/>
  <c r="I253" i="25"/>
  <c r="K253" i="25" s="1"/>
  <c r="L253" i="25" s="1"/>
  <c r="F254" i="25" s="1"/>
  <c r="D314" i="36" l="1"/>
  <c r="B314" i="36" s="1"/>
  <c r="E314" i="36"/>
  <c r="F314" i="36" s="1"/>
  <c r="G314" i="36" s="1"/>
  <c r="C315" i="36" s="1"/>
  <c r="G254" i="25"/>
  <c r="I254" i="25"/>
  <c r="K254" i="25" s="1"/>
  <c r="L254" i="25" s="1"/>
  <c r="F255" i="25" s="1"/>
  <c r="D315" i="36" l="1"/>
  <c r="B315" i="36" s="1"/>
  <c r="E315" i="36"/>
  <c r="F315" i="36" s="1"/>
  <c r="G315" i="36" s="1"/>
  <c r="C316" i="36" s="1"/>
  <c r="G255" i="25"/>
  <c r="I255" i="25"/>
  <c r="K255" i="25" s="1"/>
  <c r="L255" i="25" s="1"/>
  <c r="F256" i="25" s="1"/>
  <c r="D316" i="36" l="1"/>
  <c r="B316" i="36" s="1"/>
  <c r="E316" i="36"/>
  <c r="F316" i="36" s="1"/>
  <c r="G316" i="36" s="1"/>
  <c r="C317" i="36" s="1"/>
  <c r="G256" i="25"/>
  <c r="I256" i="25"/>
  <c r="K256" i="25" s="1"/>
  <c r="L256" i="25" s="1"/>
  <c r="F257" i="25" s="1"/>
  <c r="D317" i="36" l="1"/>
  <c r="B317" i="36" s="1"/>
  <c r="E317" i="36"/>
  <c r="F317" i="36" s="1"/>
  <c r="G317" i="36" s="1"/>
  <c r="C318" i="36" s="1"/>
  <c r="G257" i="25"/>
  <c r="I257" i="25"/>
  <c r="K257" i="25" s="1"/>
  <c r="L257" i="25" s="1"/>
  <c r="F258" i="25" s="1"/>
  <c r="D318" i="36" l="1"/>
  <c r="B318" i="36" s="1"/>
  <c r="E318" i="36"/>
  <c r="F318" i="36" s="1"/>
  <c r="G318" i="36" s="1"/>
  <c r="C319" i="36" s="1"/>
  <c r="G258" i="25"/>
  <c r="I258" i="25"/>
  <c r="K258" i="25" s="1"/>
  <c r="L258" i="25" s="1"/>
  <c r="F259" i="25" s="1"/>
  <c r="D319" i="36" l="1"/>
  <c r="B319" i="36" s="1"/>
  <c r="E319" i="36"/>
  <c r="F319" i="36" s="1"/>
  <c r="G319" i="36" s="1"/>
  <c r="C320" i="36" s="1"/>
  <c r="G259" i="25"/>
  <c r="I259" i="25"/>
  <c r="K259" i="25" s="1"/>
  <c r="L259" i="25" s="1"/>
  <c r="F260" i="25" s="1"/>
  <c r="D320" i="36" l="1"/>
  <c r="B320" i="36" s="1"/>
  <c r="E320" i="36"/>
  <c r="F320" i="36" s="1"/>
  <c r="G320" i="36" s="1"/>
  <c r="C321" i="36" s="1"/>
  <c r="G260" i="25"/>
  <c r="I260" i="25"/>
  <c r="K260" i="25" s="1"/>
  <c r="L260" i="25" s="1"/>
  <c r="F261" i="25" s="1"/>
  <c r="D321" i="36" l="1"/>
  <c r="B321" i="36" s="1"/>
  <c r="E321" i="36"/>
  <c r="F321" i="36" s="1"/>
  <c r="G321" i="36" s="1"/>
  <c r="C322" i="36" s="1"/>
  <c r="G261" i="25"/>
  <c r="I261" i="25"/>
  <c r="K261" i="25" s="1"/>
  <c r="L261" i="25" s="1"/>
  <c r="F262" i="25" s="1"/>
  <c r="D322" i="36" l="1"/>
  <c r="B322" i="36" s="1"/>
  <c r="E322" i="36"/>
  <c r="F322" i="36" s="1"/>
  <c r="G322" i="36" s="1"/>
  <c r="C323" i="36" s="1"/>
  <c r="G262" i="25"/>
  <c r="I262" i="25"/>
  <c r="K262" i="25" s="1"/>
  <c r="L262" i="25" s="1"/>
  <c r="F263" i="25" s="1"/>
  <c r="D323" i="36" l="1"/>
  <c r="B323" i="36" s="1"/>
  <c r="E323" i="36"/>
  <c r="F323" i="36" s="1"/>
  <c r="G323" i="36" s="1"/>
  <c r="C324" i="36" s="1"/>
  <c r="G263" i="25"/>
  <c r="I263" i="25"/>
  <c r="K263" i="25" s="1"/>
  <c r="L263" i="25" s="1"/>
  <c r="F264" i="25" s="1"/>
  <c r="D324" i="36" l="1"/>
  <c r="B324" i="36" s="1"/>
  <c r="E324" i="36"/>
  <c r="F324" i="36" s="1"/>
  <c r="G324" i="36" s="1"/>
  <c r="C325" i="36" s="1"/>
  <c r="G264" i="25"/>
  <c r="I264" i="25"/>
  <c r="K264" i="25" s="1"/>
  <c r="L264" i="25" s="1"/>
  <c r="F265" i="25" s="1"/>
  <c r="D325" i="36" l="1"/>
  <c r="B325" i="36" s="1"/>
  <c r="E325" i="36"/>
  <c r="F325" i="36" s="1"/>
  <c r="G325" i="36" s="1"/>
  <c r="C326" i="36" s="1"/>
  <c r="G265" i="25"/>
  <c r="I265" i="25"/>
  <c r="K265" i="25" s="1"/>
  <c r="L265" i="25" s="1"/>
  <c r="F266" i="25" s="1"/>
  <c r="D326" i="36" l="1"/>
  <c r="B326" i="36" s="1"/>
  <c r="E326" i="36"/>
  <c r="F326" i="36" s="1"/>
  <c r="G326" i="36" s="1"/>
  <c r="C327" i="36" s="1"/>
  <c r="G266" i="25"/>
  <c r="I266" i="25"/>
  <c r="K266" i="25" s="1"/>
  <c r="L266" i="25" s="1"/>
  <c r="F267" i="25" s="1"/>
  <c r="D327" i="36" l="1"/>
  <c r="B327" i="36" s="1"/>
  <c r="E327" i="36"/>
  <c r="F327" i="36" s="1"/>
  <c r="G327" i="36" s="1"/>
  <c r="C328" i="36" s="1"/>
  <c r="G267" i="25"/>
  <c r="I267" i="25"/>
  <c r="K267" i="25" s="1"/>
  <c r="L267" i="25" s="1"/>
  <c r="F268" i="25" s="1"/>
  <c r="D328" i="36" l="1"/>
  <c r="B328" i="36" s="1"/>
  <c r="E328" i="36"/>
  <c r="F328" i="36" s="1"/>
  <c r="G328" i="36" s="1"/>
  <c r="C329" i="36" s="1"/>
  <c r="G268" i="25"/>
  <c r="I268" i="25"/>
  <c r="K268" i="25" s="1"/>
  <c r="L268" i="25" s="1"/>
  <c r="F269" i="25" s="1"/>
  <c r="D329" i="36" l="1"/>
  <c r="B329" i="36" s="1"/>
  <c r="E329" i="36"/>
  <c r="F329" i="36" s="1"/>
  <c r="G329" i="36" s="1"/>
  <c r="C330" i="36" s="1"/>
  <c r="G269" i="25"/>
  <c r="I269" i="25"/>
  <c r="K269" i="25" s="1"/>
  <c r="L269" i="25" s="1"/>
  <c r="F270" i="25" s="1"/>
  <c r="E330" i="36" l="1"/>
  <c r="F330" i="36" s="1"/>
  <c r="G330" i="36" s="1"/>
  <c r="C331" i="36" s="1"/>
  <c r="D330" i="36"/>
  <c r="B330" i="36" s="1"/>
  <c r="G270" i="25"/>
  <c r="I270" i="25"/>
  <c r="K270" i="25" s="1"/>
  <c r="L270" i="25" s="1"/>
  <c r="F271" i="25" s="1"/>
  <c r="D331" i="36" l="1"/>
  <c r="B331" i="36" s="1"/>
  <c r="E331" i="36"/>
  <c r="F331" i="36" s="1"/>
  <c r="G331" i="36" s="1"/>
  <c r="C332" i="36" s="1"/>
  <c r="G271" i="25"/>
  <c r="I271" i="25"/>
  <c r="K271" i="25" s="1"/>
  <c r="L271" i="25" s="1"/>
  <c r="F272" i="25" s="1"/>
  <c r="D332" i="36" l="1"/>
  <c r="B332" i="36" s="1"/>
  <c r="E332" i="36"/>
  <c r="F332" i="36" s="1"/>
  <c r="G332" i="36" s="1"/>
  <c r="C333" i="36" s="1"/>
  <c r="G272" i="25"/>
  <c r="I272" i="25"/>
  <c r="K272" i="25" s="1"/>
  <c r="L272" i="25" s="1"/>
  <c r="F273" i="25" s="1"/>
  <c r="D333" i="36" l="1"/>
  <c r="B333" i="36" s="1"/>
  <c r="E333" i="36"/>
  <c r="F333" i="36" s="1"/>
  <c r="G333" i="36" s="1"/>
  <c r="C334" i="36" s="1"/>
  <c r="G273" i="25"/>
  <c r="I273" i="25"/>
  <c r="K273" i="25" s="1"/>
  <c r="L273" i="25" s="1"/>
  <c r="F274" i="25" s="1"/>
  <c r="D334" i="36" l="1"/>
  <c r="B334" i="36" s="1"/>
  <c r="E334" i="36"/>
  <c r="F334" i="36" s="1"/>
  <c r="G334" i="36" s="1"/>
  <c r="C335" i="36" s="1"/>
  <c r="G274" i="25"/>
  <c r="I274" i="25"/>
  <c r="K274" i="25" s="1"/>
  <c r="L274" i="25" s="1"/>
  <c r="F275" i="25" s="1"/>
  <c r="D335" i="36" l="1"/>
  <c r="B335" i="36" s="1"/>
  <c r="E335" i="36"/>
  <c r="F335" i="36" s="1"/>
  <c r="G335" i="36" s="1"/>
  <c r="C336" i="36" s="1"/>
  <c r="G275" i="25"/>
  <c r="I275" i="25"/>
  <c r="K275" i="25" s="1"/>
  <c r="L275" i="25" s="1"/>
  <c r="F276" i="25" s="1"/>
  <c r="D336" i="36" l="1"/>
  <c r="B336" i="36" s="1"/>
  <c r="E336" i="36"/>
  <c r="F336" i="36" s="1"/>
  <c r="G336" i="36" s="1"/>
  <c r="C337" i="36" s="1"/>
  <c r="G276" i="25"/>
  <c r="I276" i="25"/>
  <c r="K276" i="25" s="1"/>
  <c r="L276" i="25" s="1"/>
  <c r="F277" i="25" s="1"/>
  <c r="D337" i="36" l="1"/>
  <c r="B337" i="36" s="1"/>
  <c r="E337" i="36"/>
  <c r="F337" i="36" s="1"/>
  <c r="G337" i="36" s="1"/>
  <c r="C338" i="36" s="1"/>
  <c r="G277" i="25"/>
  <c r="I277" i="25"/>
  <c r="K277" i="25" s="1"/>
  <c r="L277" i="25" s="1"/>
  <c r="F278" i="25" s="1"/>
  <c r="D338" i="36" l="1"/>
  <c r="B338" i="36" s="1"/>
  <c r="E338" i="36"/>
  <c r="F338" i="36" s="1"/>
  <c r="G338" i="36" s="1"/>
  <c r="C339" i="36" s="1"/>
  <c r="G278" i="25"/>
  <c r="I278" i="25"/>
  <c r="K278" i="25" s="1"/>
  <c r="L278" i="25" s="1"/>
  <c r="F279" i="25" s="1"/>
  <c r="D339" i="36" l="1"/>
  <c r="B339" i="36" s="1"/>
  <c r="E339" i="36"/>
  <c r="F339" i="36" s="1"/>
  <c r="G339" i="36" s="1"/>
  <c r="C340" i="36" s="1"/>
  <c r="G279" i="25"/>
  <c r="I279" i="25"/>
  <c r="K279" i="25" s="1"/>
  <c r="L279" i="25" s="1"/>
  <c r="F280" i="25" s="1"/>
  <c r="D340" i="36" l="1"/>
  <c r="B340" i="36" s="1"/>
  <c r="E340" i="36"/>
  <c r="F340" i="36" s="1"/>
  <c r="G340" i="36" s="1"/>
  <c r="C341" i="36" s="1"/>
  <c r="G280" i="25"/>
  <c r="I280" i="25"/>
  <c r="K280" i="25" s="1"/>
  <c r="L280" i="25" s="1"/>
  <c r="F281" i="25" s="1"/>
  <c r="D341" i="36" l="1"/>
  <c r="B341" i="36" s="1"/>
  <c r="E341" i="36"/>
  <c r="F341" i="36" s="1"/>
  <c r="G341" i="36" s="1"/>
  <c r="C342" i="36" s="1"/>
  <c r="G281" i="25"/>
  <c r="I281" i="25"/>
  <c r="K281" i="25" s="1"/>
  <c r="L281" i="25" s="1"/>
  <c r="F282" i="25" s="1"/>
  <c r="D342" i="36" l="1"/>
  <c r="B342" i="36" s="1"/>
  <c r="E342" i="36"/>
  <c r="F342" i="36" s="1"/>
  <c r="G342" i="36" s="1"/>
  <c r="C343" i="36" s="1"/>
  <c r="G282" i="25"/>
  <c r="I282" i="25"/>
  <c r="K282" i="25" s="1"/>
  <c r="L282" i="25" s="1"/>
  <c r="F283" i="25" s="1"/>
  <c r="D343" i="36" l="1"/>
  <c r="B343" i="36" s="1"/>
  <c r="E343" i="36"/>
  <c r="F343" i="36" s="1"/>
  <c r="G343" i="36" s="1"/>
  <c r="C344" i="36" s="1"/>
  <c r="G283" i="25"/>
  <c r="I283" i="25"/>
  <c r="K283" i="25" s="1"/>
  <c r="L283" i="25" s="1"/>
  <c r="F284" i="25" s="1"/>
  <c r="D344" i="36" l="1"/>
  <c r="B344" i="36" s="1"/>
  <c r="E344" i="36"/>
  <c r="F344" i="36" s="1"/>
  <c r="G344" i="36" s="1"/>
  <c r="C345" i="36" s="1"/>
  <c r="G284" i="25"/>
  <c r="I284" i="25"/>
  <c r="K284" i="25" s="1"/>
  <c r="L284" i="25" s="1"/>
  <c r="F285" i="25" s="1"/>
  <c r="D345" i="36" l="1"/>
  <c r="B345" i="36" s="1"/>
  <c r="E345" i="36"/>
  <c r="F345" i="36" s="1"/>
  <c r="G345" i="36" s="1"/>
  <c r="C346" i="36" s="1"/>
  <c r="G285" i="25"/>
  <c r="I285" i="25"/>
  <c r="K285" i="25" s="1"/>
  <c r="L285" i="25" s="1"/>
  <c r="F286" i="25" s="1"/>
  <c r="D346" i="36" l="1"/>
  <c r="B346" i="36" s="1"/>
  <c r="E346" i="36"/>
  <c r="F346" i="36" s="1"/>
  <c r="G346" i="36" s="1"/>
  <c r="C347" i="36" s="1"/>
  <c r="G286" i="25"/>
  <c r="I286" i="25"/>
  <c r="K286" i="25" s="1"/>
  <c r="L286" i="25" s="1"/>
  <c r="F287" i="25" s="1"/>
  <c r="D347" i="36" l="1"/>
  <c r="B347" i="36" s="1"/>
  <c r="E347" i="36"/>
  <c r="F347" i="36" s="1"/>
  <c r="G347" i="36" s="1"/>
  <c r="C348" i="36" s="1"/>
  <c r="G287" i="25"/>
  <c r="I287" i="25"/>
  <c r="K287" i="25" s="1"/>
  <c r="L287" i="25" s="1"/>
  <c r="F288" i="25" s="1"/>
  <c r="D348" i="36" l="1"/>
  <c r="B348" i="36" s="1"/>
  <c r="E348" i="36"/>
  <c r="F348" i="36" s="1"/>
  <c r="G348" i="36" s="1"/>
  <c r="C349" i="36" s="1"/>
  <c r="G288" i="25"/>
  <c r="I288" i="25"/>
  <c r="K288" i="25" s="1"/>
  <c r="L288" i="25" s="1"/>
  <c r="F289" i="25" s="1"/>
  <c r="D349" i="36" l="1"/>
  <c r="B349" i="36" s="1"/>
  <c r="E349" i="36"/>
  <c r="F349" i="36" s="1"/>
  <c r="G349" i="36" s="1"/>
  <c r="C350" i="36" s="1"/>
  <c r="G289" i="25"/>
  <c r="I289" i="25"/>
  <c r="K289" i="25" s="1"/>
  <c r="L289" i="25" s="1"/>
  <c r="F290" i="25" s="1"/>
  <c r="D350" i="36" l="1"/>
  <c r="B350" i="36" s="1"/>
  <c r="E350" i="36"/>
  <c r="F350" i="36" s="1"/>
  <c r="G350" i="36" s="1"/>
  <c r="C351" i="36" s="1"/>
  <c r="G290" i="25"/>
  <c r="I290" i="25"/>
  <c r="K290" i="25" s="1"/>
  <c r="L290" i="25" s="1"/>
  <c r="F291" i="25" s="1"/>
  <c r="D351" i="36" l="1"/>
  <c r="B351" i="36" s="1"/>
  <c r="E351" i="36"/>
  <c r="F351" i="36" s="1"/>
  <c r="G351" i="36" s="1"/>
  <c r="C352" i="36" s="1"/>
  <c r="G291" i="25"/>
  <c r="I291" i="25"/>
  <c r="K291" i="25" s="1"/>
  <c r="L291" i="25" s="1"/>
  <c r="F292" i="25" s="1"/>
  <c r="D352" i="36" l="1"/>
  <c r="B352" i="36" s="1"/>
  <c r="E352" i="36"/>
  <c r="F352" i="36" s="1"/>
  <c r="G352" i="36" s="1"/>
  <c r="C353" i="36" s="1"/>
  <c r="G292" i="25"/>
  <c r="I292" i="25"/>
  <c r="K292" i="25" s="1"/>
  <c r="L292" i="25" s="1"/>
  <c r="F293" i="25" s="1"/>
  <c r="D353" i="36" l="1"/>
  <c r="B353" i="36" s="1"/>
  <c r="E353" i="36"/>
  <c r="F353" i="36" s="1"/>
  <c r="G353" i="36" s="1"/>
  <c r="C354" i="36" s="1"/>
  <c r="G293" i="25"/>
  <c r="I293" i="25"/>
  <c r="K293" i="25" s="1"/>
  <c r="L293" i="25" s="1"/>
  <c r="F294" i="25" s="1"/>
  <c r="D354" i="36" l="1"/>
  <c r="B354" i="36" s="1"/>
  <c r="E354" i="36"/>
  <c r="F354" i="36" s="1"/>
  <c r="G354" i="36" s="1"/>
  <c r="C355" i="36" s="1"/>
  <c r="G294" i="25"/>
  <c r="I294" i="25"/>
  <c r="K294" i="25" s="1"/>
  <c r="L294" i="25" s="1"/>
  <c r="F295" i="25" s="1"/>
  <c r="D355" i="36" l="1"/>
  <c r="B355" i="36" s="1"/>
  <c r="E355" i="36"/>
  <c r="F355" i="36" s="1"/>
  <c r="G355" i="36" s="1"/>
  <c r="C356" i="36" s="1"/>
  <c r="G295" i="25"/>
  <c r="I295" i="25"/>
  <c r="K295" i="25" s="1"/>
  <c r="L295" i="25" s="1"/>
  <c r="F296" i="25" s="1"/>
  <c r="D356" i="36" l="1"/>
  <c r="B356" i="36" s="1"/>
  <c r="E356" i="36"/>
  <c r="F356" i="36" s="1"/>
  <c r="G356" i="36" s="1"/>
  <c r="C357" i="36" s="1"/>
  <c r="G296" i="25"/>
  <c r="I296" i="25"/>
  <c r="K296" i="25" s="1"/>
  <c r="L296" i="25" s="1"/>
  <c r="F297" i="25" s="1"/>
  <c r="D357" i="36" l="1"/>
  <c r="B357" i="36" s="1"/>
  <c r="E357" i="36"/>
  <c r="F357" i="36" s="1"/>
  <c r="G357" i="36" s="1"/>
  <c r="C358" i="36" s="1"/>
  <c r="G297" i="25"/>
  <c r="I297" i="25"/>
  <c r="K297" i="25" s="1"/>
  <c r="L297" i="25" s="1"/>
  <c r="F298" i="25" s="1"/>
  <c r="D358" i="36" l="1"/>
  <c r="B358" i="36" s="1"/>
  <c r="E358" i="36"/>
  <c r="F358" i="36" s="1"/>
  <c r="G358" i="36" s="1"/>
  <c r="C359" i="36" s="1"/>
  <c r="G298" i="25"/>
  <c r="I298" i="25"/>
  <c r="K298" i="25" s="1"/>
  <c r="L298" i="25" s="1"/>
  <c r="F299" i="25" s="1"/>
  <c r="D359" i="36" l="1"/>
  <c r="B359" i="36" s="1"/>
  <c r="E359" i="36"/>
  <c r="F359" i="36" s="1"/>
  <c r="G359" i="36" s="1"/>
  <c r="C360" i="36" s="1"/>
  <c r="G299" i="25"/>
  <c r="I299" i="25"/>
  <c r="K299" i="25" s="1"/>
  <c r="L299" i="25" s="1"/>
  <c r="F300" i="25" s="1"/>
  <c r="D360" i="36" l="1"/>
  <c r="B360" i="36" s="1"/>
  <c r="E360" i="36"/>
  <c r="F360" i="36" s="1"/>
  <c r="G360" i="36" s="1"/>
  <c r="C361" i="36" s="1"/>
  <c r="G300" i="25"/>
  <c r="I300" i="25"/>
  <c r="K300" i="25" s="1"/>
  <c r="L300" i="25" s="1"/>
  <c r="F301" i="25" s="1"/>
  <c r="D361" i="36" l="1"/>
  <c r="B361" i="36" s="1"/>
  <c r="E361" i="36"/>
  <c r="F361" i="36" s="1"/>
  <c r="G361" i="36" s="1"/>
  <c r="C362" i="36" s="1"/>
  <c r="G301" i="25"/>
  <c r="I301" i="25"/>
  <c r="K301" i="25" s="1"/>
  <c r="L301" i="25" s="1"/>
  <c r="F302" i="25" s="1"/>
  <c r="D362" i="36" l="1"/>
  <c r="B362" i="36" s="1"/>
  <c r="E362" i="36"/>
  <c r="F362" i="36" s="1"/>
  <c r="G362" i="36" s="1"/>
  <c r="C363" i="36" s="1"/>
  <c r="G302" i="25"/>
  <c r="I302" i="25"/>
  <c r="K302" i="25" s="1"/>
  <c r="L302" i="25" s="1"/>
  <c r="F303" i="25" s="1"/>
  <c r="D363" i="36" l="1"/>
  <c r="B363" i="36" s="1"/>
  <c r="E363" i="36"/>
  <c r="F363" i="36" s="1"/>
  <c r="G363" i="36" s="1"/>
  <c r="C364" i="36" s="1"/>
  <c r="G303" i="25"/>
  <c r="I303" i="25"/>
  <c r="K303" i="25" s="1"/>
  <c r="L303" i="25" s="1"/>
  <c r="F304" i="25" s="1"/>
  <c r="D364" i="36" l="1"/>
  <c r="B364" i="36" s="1"/>
  <c r="E364" i="36"/>
  <c r="F364" i="36" s="1"/>
  <c r="G364" i="36" s="1"/>
  <c r="C365" i="36" s="1"/>
  <c r="G304" i="25"/>
  <c r="I304" i="25"/>
  <c r="K304" i="25" s="1"/>
  <c r="L304" i="25" s="1"/>
  <c r="F305" i="25" s="1"/>
  <c r="D365" i="36" l="1"/>
  <c r="B365" i="36" s="1"/>
  <c r="E365" i="36"/>
  <c r="F365" i="36" s="1"/>
  <c r="G365" i="36" s="1"/>
  <c r="C366" i="36" s="1"/>
  <c r="G305" i="25"/>
  <c r="I305" i="25"/>
  <c r="K305" i="25" s="1"/>
  <c r="L305" i="25" s="1"/>
  <c r="F306" i="25" s="1"/>
  <c r="E366" i="36" l="1"/>
  <c r="F366" i="36" s="1"/>
  <c r="G366" i="36" s="1"/>
  <c r="C367" i="36" s="1"/>
  <c r="D366" i="36"/>
  <c r="B366" i="36" s="1"/>
  <c r="G306" i="25"/>
  <c r="I306" i="25"/>
  <c r="K306" i="25" s="1"/>
  <c r="L306" i="25" s="1"/>
  <c r="F307" i="25" s="1"/>
  <c r="D367" i="36" l="1"/>
  <c r="B367" i="36" s="1"/>
  <c r="E367" i="36"/>
  <c r="F367" i="36" s="1"/>
  <c r="G367" i="36" s="1"/>
  <c r="C368" i="36" s="1"/>
  <c r="G307" i="25"/>
  <c r="I307" i="25"/>
  <c r="K307" i="25" s="1"/>
  <c r="L307" i="25" s="1"/>
  <c r="F308" i="25" s="1"/>
  <c r="D368" i="36" l="1"/>
  <c r="B368" i="36" s="1"/>
  <c r="E368" i="36"/>
  <c r="F368" i="36" s="1"/>
  <c r="G368" i="36" s="1"/>
  <c r="C369" i="36" s="1"/>
  <c r="G308" i="25"/>
  <c r="I308" i="25"/>
  <c r="K308" i="25" s="1"/>
  <c r="L308" i="25" s="1"/>
  <c r="F309" i="25" s="1"/>
  <c r="D369" i="36" l="1"/>
  <c r="B369" i="36" s="1"/>
  <c r="E369" i="36"/>
  <c r="F369" i="36" s="1"/>
  <c r="G369" i="36" s="1"/>
  <c r="C370" i="36" s="1"/>
  <c r="G309" i="25"/>
  <c r="I309" i="25"/>
  <c r="K309" i="25" s="1"/>
  <c r="L309" i="25" s="1"/>
  <c r="F310" i="25" s="1"/>
  <c r="D370" i="36" l="1"/>
  <c r="B370" i="36" s="1"/>
  <c r="E370" i="36"/>
  <c r="F370" i="36" s="1"/>
  <c r="G370" i="36" s="1"/>
  <c r="C371" i="36" s="1"/>
  <c r="G310" i="25"/>
  <c r="I310" i="25"/>
  <c r="K310" i="25" s="1"/>
  <c r="L310" i="25" s="1"/>
  <c r="F311" i="25" s="1"/>
  <c r="D371" i="36" l="1"/>
  <c r="B371" i="36" s="1"/>
  <c r="E371" i="36"/>
  <c r="F371" i="36" s="1"/>
  <c r="G371" i="36" s="1"/>
  <c r="C372" i="36" s="1"/>
  <c r="G311" i="25"/>
  <c r="I311" i="25"/>
  <c r="K311" i="25" s="1"/>
  <c r="L311" i="25" s="1"/>
  <c r="F312" i="25" s="1"/>
  <c r="D372" i="36" l="1"/>
  <c r="B372" i="36" s="1"/>
  <c r="E372" i="36"/>
  <c r="F372" i="36" s="1"/>
  <c r="G372" i="36" s="1"/>
  <c r="C373" i="36" s="1"/>
  <c r="G312" i="25"/>
  <c r="I312" i="25"/>
  <c r="K312" i="25" s="1"/>
  <c r="L312" i="25" s="1"/>
  <c r="F313" i="25" s="1"/>
  <c r="D373" i="36" l="1"/>
  <c r="B373" i="36" s="1"/>
  <c r="E373" i="36"/>
  <c r="F373" i="36" s="1"/>
  <c r="G373" i="36" s="1"/>
  <c r="C374" i="36" s="1"/>
  <c r="G313" i="25"/>
  <c r="I313" i="25"/>
  <c r="K313" i="25" s="1"/>
  <c r="L313" i="25" s="1"/>
  <c r="F314" i="25" s="1"/>
  <c r="D374" i="36" l="1"/>
  <c r="B374" i="36" s="1"/>
  <c r="E374" i="36"/>
  <c r="F374" i="36" s="1"/>
  <c r="G374" i="36" s="1"/>
  <c r="C375" i="36" s="1"/>
  <c r="G314" i="25"/>
  <c r="I314" i="25"/>
  <c r="K314" i="25" s="1"/>
  <c r="L314" i="25" s="1"/>
  <c r="F315" i="25" s="1"/>
  <c r="D375" i="36" l="1"/>
  <c r="B375" i="36" s="1"/>
  <c r="E375" i="36"/>
  <c r="F375" i="36" s="1"/>
  <c r="G375" i="36" s="1"/>
  <c r="C376" i="36" s="1"/>
  <c r="G315" i="25"/>
  <c r="I315" i="25"/>
  <c r="K315" i="25" s="1"/>
  <c r="L315" i="25" s="1"/>
  <c r="F316" i="25" s="1"/>
  <c r="D376" i="36" l="1"/>
  <c r="B376" i="36" s="1"/>
  <c r="E376" i="36"/>
  <c r="F376" i="36" s="1"/>
  <c r="G376" i="36" s="1"/>
  <c r="C377" i="36" s="1"/>
  <c r="G316" i="25"/>
  <c r="I316" i="25"/>
  <c r="K316" i="25" s="1"/>
  <c r="L316" i="25" s="1"/>
  <c r="F317" i="25" s="1"/>
  <c r="D377" i="36" l="1"/>
  <c r="B377" i="36" s="1"/>
  <c r="E377" i="36"/>
  <c r="F377" i="36" s="1"/>
  <c r="G377" i="36" s="1"/>
  <c r="C378" i="36" s="1"/>
  <c r="G317" i="25"/>
  <c r="I317" i="25"/>
  <c r="K317" i="25" s="1"/>
  <c r="L317" i="25" s="1"/>
  <c r="F318" i="25" s="1"/>
  <c r="D378" i="36" l="1"/>
  <c r="B378" i="36" s="1"/>
  <c r="E378" i="36"/>
  <c r="F378" i="36" s="1"/>
  <c r="G378" i="36" s="1"/>
  <c r="C379" i="36" s="1"/>
  <c r="G318" i="25"/>
  <c r="I318" i="25"/>
  <c r="K318" i="25" s="1"/>
  <c r="L318" i="25" s="1"/>
  <c r="F319" i="25" s="1"/>
  <c r="D379" i="36" l="1"/>
  <c r="B379" i="36" s="1"/>
  <c r="E379" i="36"/>
  <c r="F379" i="36" s="1"/>
  <c r="G379" i="36" s="1"/>
  <c r="C380" i="36" s="1"/>
  <c r="G319" i="25"/>
  <c r="I319" i="25"/>
  <c r="K319" i="25" s="1"/>
  <c r="L319" i="25" s="1"/>
  <c r="F320" i="25" s="1"/>
  <c r="D380" i="36" l="1"/>
  <c r="B380" i="36" s="1"/>
  <c r="E380" i="36"/>
  <c r="F380" i="36" s="1"/>
  <c r="G380" i="36" s="1"/>
  <c r="C381" i="36" s="1"/>
  <c r="G320" i="25"/>
  <c r="I320" i="25"/>
  <c r="K320" i="25" s="1"/>
  <c r="L320" i="25" s="1"/>
  <c r="F321" i="25" s="1"/>
  <c r="D381" i="36" l="1"/>
  <c r="B381" i="36" s="1"/>
  <c r="E381" i="36"/>
  <c r="F381" i="36" s="1"/>
  <c r="G381" i="36" s="1"/>
  <c r="C382" i="36" s="1"/>
  <c r="G321" i="25"/>
  <c r="I321" i="25"/>
  <c r="K321" i="25" s="1"/>
  <c r="L321" i="25" s="1"/>
  <c r="F322" i="25" s="1"/>
  <c r="D382" i="36" l="1"/>
  <c r="B382" i="36" s="1"/>
  <c r="E382" i="36"/>
  <c r="F382" i="36" s="1"/>
  <c r="G382" i="36" s="1"/>
  <c r="C383" i="36" s="1"/>
  <c r="G322" i="25"/>
  <c r="I322" i="25"/>
  <c r="K322" i="25" s="1"/>
  <c r="L322" i="25" s="1"/>
  <c r="F323" i="25" s="1"/>
  <c r="E383" i="36" l="1"/>
  <c r="F383" i="36" s="1"/>
  <c r="G383" i="36" s="1"/>
  <c r="C384" i="36" s="1"/>
  <c r="D383" i="36"/>
  <c r="B383" i="36" s="1"/>
  <c r="G323" i="25"/>
  <c r="I323" i="25"/>
  <c r="K323" i="25" s="1"/>
  <c r="L323" i="25" s="1"/>
  <c r="F324" i="25" s="1"/>
  <c r="D384" i="36" l="1"/>
  <c r="B384" i="36" s="1"/>
  <c r="E384" i="36"/>
  <c r="F384" i="36" s="1"/>
  <c r="G384" i="36" s="1"/>
  <c r="C385" i="36" s="1"/>
  <c r="G324" i="25"/>
  <c r="I324" i="25"/>
  <c r="K324" i="25" s="1"/>
  <c r="L324" i="25" s="1"/>
  <c r="F325" i="25" s="1"/>
  <c r="D385" i="36" l="1"/>
  <c r="B385" i="36" s="1"/>
  <c r="E385" i="36"/>
  <c r="F385" i="36" s="1"/>
  <c r="G385" i="36" s="1"/>
  <c r="C386" i="36" s="1"/>
  <c r="G325" i="25"/>
  <c r="I325" i="25"/>
  <c r="K325" i="25" s="1"/>
  <c r="L325" i="25" s="1"/>
  <c r="F326" i="25" s="1"/>
  <c r="D386" i="36" l="1"/>
  <c r="B386" i="36" s="1"/>
  <c r="E386" i="36"/>
  <c r="F386" i="36" s="1"/>
  <c r="G386" i="36" s="1"/>
  <c r="C387" i="36" s="1"/>
  <c r="G326" i="25"/>
  <c r="I326" i="25"/>
  <c r="K326" i="25" s="1"/>
  <c r="L326" i="25" s="1"/>
  <c r="F327" i="25" s="1"/>
  <c r="D387" i="36" l="1"/>
  <c r="B387" i="36" s="1"/>
  <c r="E387" i="36"/>
  <c r="F387" i="36" s="1"/>
  <c r="G387" i="36" s="1"/>
  <c r="C388" i="36" s="1"/>
  <c r="G327" i="25"/>
  <c r="I327" i="25"/>
  <c r="K327" i="25" s="1"/>
  <c r="L327" i="25" s="1"/>
  <c r="F328" i="25" s="1"/>
  <c r="D388" i="36" l="1"/>
  <c r="B388" i="36" s="1"/>
  <c r="E388" i="36"/>
  <c r="F388" i="36" s="1"/>
  <c r="G388" i="36" s="1"/>
  <c r="C389" i="36" s="1"/>
  <c r="G328" i="25"/>
  <c r="I328" i="25"/>
  <c r="K328" i="25" s="1"/>
  <c r="L328" i="25" s="1"/>
  <c r="F329" i="25" s="1"/>
  <c r="D389" i="36" l="1"/>
  <c r="B389" i="36" s="1"/>
  <c r="E389" i="36"/>
  <c r="F389" i="36" s="1"/>
  <c r="G389" i="36" s="1"/>
  <c r="C390" i="36" s="1"/>
  <c r="G329" i="25"/>
  <c r="I329" i="25"/>
  <c r="K329" i="25" s="1"/>
  <c r="L329" i="25" s="1"/>
  <c r="F330" i="25" s="1"/>
  <c r="D390" i="36" l="1"/>
  <c r="B390" i="36" s="1"/>
  <c r="E390" i="36"/>
  <c r="F390" i="36" s="1"/>
  <c r="G390" i="36" s="1"/>
  <c r="C391" i="36" s="1"/>
  <c r="G330" i="25"/>
  <c r="I330" i="25"/>
  <c r="K330" i="25" s="1"/>
  <c r="L330" i="25" s="1"/>
  <c r="F331" i="25" s="1"/>
  <c r="D391" i="36" l="1"/>
  <c r="B391" i="36" s="1"/>
  <c r="E391" i="36"/>
  <c r="F391" i="36" s="1"/>
  <c r="G391" i="36" s="1"/>
  <c r="C392" i="36" s="1"/>
  <c r="G331" i="25"/>
  <c r="I331" i="25"/>
  <c r="K331" i="25" s="1"/>
  <c r="L331" i="25" s="1"/>
  <c r="F332" i="25" s="1"/>
  <c r="D392" i="36" l="1"/>
  <c r="B392" i="36" s="1"/>
  <c r="E392" i="36"/>
  <c r="F392" i="36" s="1"/>
  <c r="G392" i="36" s="1"/>
  <c r="C393" i="36" s="1"/>
  <c r="G332" i="25"/>
  <c r="I332" i="25"/>
  <c r="K332" i="25" s="1"/>
  <c r="L332" i="25" s="1"/>
  <c r="F333" i="25" s="1"/>
  <c r="D393" i="36" l="1"/>
  <c r="B393" i="36" s="1"/>
  <c r="E393" i="36"/>
  <c r="F393" i="36" s="1"/>
  <c r="G393" i="36" s="1"/>
  <c r="C394" i="36" s="1"/>
  <c r="G333" i="25"/>
  <c r="I333" i="25"/>
  <c r="K333" i="25" s="1"/>
  <c r="L333" i="25" s="1"/>
  <c r="F334" i="25" s="1"/>
  <c r="E394" i="36" l="1"/>
  <c r="F394" i="36" s="1"/>
  <c r="G394" i="36" s="1"/>
  <c r="C395" i="36" s="1"/>
  <c r="D394" i="36"/>
  <c r="B394" i="36" s="1"/>
  <c r="G334" i="25"/>
  <c r="I334" i="25"/>
  <c r="K334" i="25" s="1"/>
  <c r="L334" i="25" s="1"/>
  <c r="F335" i="25" s="1"/>
  <c r="D395" i="36" l="1"/>
  <c r="B395" i="36" s="1"/>
  <c r="E395" i="36"/>
  <c r="F395" i="36" s="1"/>
  <c r="G395" i="36" s="1"/>
  <c r="C396" i="36" s="1"/>
  <c r="G335" i="25"/>
  <c r="I335" i="25"/>
  <c r="K335" i="25" s="1"/>
  <c r="L335" i="25" s="1"/>
  <c r="F336" i="25" s="1"/>
  <c r="E396" i="36" l="1"/>
  <c r="F396" i="36" s="1"/>
  <c r="G396" i="36" s="1"/>
  <c r="C397" i="36" s="1"/>
  <c r="D396" i="36"/>
  <c r="B396" i="36" s="1"/>
  <c r="G336" i="25"/>
  <c r="I336" i="25"/>
  <c r="K336" i="25" s="1"/>
  <c r="L336" i="25" s="1"/>
  <c r="F337" i="25" s="1"/>
  <c r="D397" i="36" l="1"/>
  <c r="B397" i="36" s="1"/>
  <c r="E397" i="36"/>
  <c r="F397" i="36" s="1"/>
  <c r="G397" i="36" s="1"/>
  <c r="C398" i="36" s="1"/>
  <c r="G337" i="25"/>
  <c r="I337" i="25"/>
  <c r="K337" i="25" s="1"/>
  <c r="L337" i="25" s="1"/>
  <c r="F338" i="25" s="1"/>
  <c r="D398" i="36" l="1"/>
  <c r="B398" i="36" s="1"/>
  <c r="E398" i="36"/>
  <c r="F398" i="36" s="1"/>
  <c r="G398" i="36" s="1"/>
  <c r="C399" i="36" s="1"/>
  <c r="G338" i="25"/>
  <c r="I338" i="25"/>
  <c r="K338" i="25" s="1"/>
  <c r="L338" i="25" s="1"/>
  <c r="F339" i="25" s="1"/>
  <c r="D399" i="36" l="1"/>
  <c r="B399" i="36" s="1"/>
  <c r="E399" i="36"/>
  <c r="F399" i="36" s="1"/>
  <c r="G399" i="36" s="1"/>
  <c r="C400" i="36" s="1"/>
  <c r="G339" i="25"/>
  <c r="I339" i="25"/>
  <c r="K339" i="25" s="1"/>
  <c r="L339" i="25" s="1"/>
  <c r="F340" i="25" s="1"/>
  <c r="E400" i="36" l="1"/>
  <c r="F400" i="36" s="1"/>
  <c r="G400" i="36" s="1"/>
  <c r="C401" i="36" s="1"/>
  <c r="D400" i="36"/>
  <c r="B400" i="36" s="1"/>
  <c r="G340" i="25"/>
  <c r="I340" i="25"/>
  <c r="K340" i="25" s="1"/>
  <c r="L340" i="25" s="1"/>
  <c r="F341" i="25" s="1"/>
  <c r="D401" i="36" l="1"/>
  <c r="B401" i="36" s="1"/>
  <c r="E401" i="36"/>
  <c r="F401" i="36" s="1"/>
  <c r="G401" i="36" s="1"/>
  <c r="C402" i="36" s="1"/>
  <c r="G341" i="25"/>
  <c r="I341" i="25"/>
  <c r="K341" i="25" s="1"/>
  <c r="L341" i="25" s="1"/>
  <c r="F342" i="25" s="1"/>
  <c r="D402" i="36" l="1"/>
  <c r="B402" i="36" s="1"/>
  <c r="E402" i="36"/>
  <c r="F402" i="36" s="1"/>
  <c r="G402" i="36" s="1"/>
  <c r="C403" i="36" s="1"/>
  <c r="G342" i="25"/>
  <c r="I342" i="25"/>
  <c r="K342" i="25" s="1"/>
  <c r="L342" i="25" s="1"/>
  <c r="F343" i="25" s="1"/>
  <c r="D403" i="36" l="1"/>
  <c r="B403" i="36" s="1"/>
  <c r="E403" i="36"/>
  <c r="F403" i="36" s="1"/>
  <c r="G403" i="36" s="1"/>
  <c r="C404" i="36" s="1"/>
  <c r="G343" i="25"/>
  <c r="I343" i="25"/>
  <c r="K343" i="25" s="1"/>
  <c r="L343" i="25" s="1"/>
  <c r="F344" i="25" s="1"/>
  <c r="D404" i="36" l="1"/>
  <c r="B404" i="36" s="1"/>
  <c r="E404" i="36"/>
  <c r="F404" i="36" s="1"/>
  <c r="G404" i="36" s="1"/>
  <c r="C405" i="36" s="1"/>
  <c r="G344" i="25"/>
  <c r="I344" i="25"/>
  <c r="K344" i="25" s="1"/>
  <c r="L344" i="25" s="1"/>
  <c r="F345" i="25" s="1"/>
  <c r="D405" i="36" l="1"/>
  <c r="B405" i="36" s="1"/>
  <c r="E405" i="36"/>
  <c r="F405" i="36" s="1"/>
  <c r="G405" i="36" s="1"/>
  <c r="C406" i="36" s="1"/>
  <c r="G345" i="25"/>
  <c r="I345" i="25"/>
  <c r="K345" i="25" s="1"/>
  <c r="L345" i="25" s="1"/>
  <c r="F346" i="25" s="1"/>
  <c r="E406" i="36" l="1"/>
  <c r="F406" i="36" s="1"/>
  <c r="G406" i="36" s="1"/>
  <c r="C407" i="36" s="1"/>
  <c r="D406" i="36"/>
  <c r="B406" i="36" s="1"/>
  <c r="G346" i="25"/>
  <c r="I346" i="25"/>
  <c r="K346" i="25" s="1"/>
  <c r="L346" i="25" s="1"/>
  <c r="F347" i="25" s="1"/>
  <c r="D407" i="36" l="1"/>
  <c r="B407" i="36" s="1"/>
  <c r="E407" i="36"/>
  <c r="F407" i="36" s="1"/>
  <c r="G407" i="36" s="1"/>
  <c r="C408" i="36" s="1"/>
  <c r="G347" i="25"/>
  <c r="I347" i="25"/>
  <c r="K347" i="25" s="1"/>
  <c r="L347" i="25" s="1"/>
  <c r="F348" i="25" s="1"/>
  <c r="E408" i="36" l="1"/>
  <c r="F408" i="36" s="1"/>
  <c r="G408" i="36" s="1"/>
  <c r="C409" i="36" s="1"/>
  <c r="D408" i="36"/>
  <c r="B408" i="36" s="1"/>
  <c r="G348" i="25"/>
  <c r="I348" i="25"/>
  <c r="K348" i="25" s="1"/>
  <c r="L348" i="25" s="1"/>
  <c r="F349" i="25" s="1"/>
  <c r="D409" i="36" l="1"/>
  <c r="B409" i="36" s="1"/>
  <c r="E409" i="36"/>
  <c r="F409" i="36" s="1"/>
  <c r="G409" i="36" s="1"/>
  <c r="C410" i="36" s="1"/>
  <c r="G349" i="25"/>
  <c r="I349" i="25"/>
  <c r="K349" i="25" s="1"/>
  <c r="L349" i="25" s="1"/>
  <c r="F350" i="25" s="1"/>
  <c r="D410" i="36" l="1"/>
  <c r="B410" i="36" s="1"/>
  <c r="E410" i="36"/>
  <c r="F410" i="36" s="1"/>
  <c r="G410" i="36" s="1"/>
  <c r="C411" i="36" s="1"/>
  <c r="G350" i="25"/>
  <c r="I350" i="25"/>
  <c r="K350" i="25" s="1"/>
  <c r="L350" i="25" s="1"/>
  <c r="F351" i="25" s="1"/>
  <c r="D411" i="36" l="1"/>
  <c r="B411" i="36" s="1"/>
  <c r="E411" i="36"/>
  <c r="F411" i="36" s="1"/>
  <c r="G411" i="36" s="1"/>
  <c r="C412" i="36" s="1"/>
  <c r="G351" i="25"/>
  <c r="I351" i="25"/>
  <c r="K351" i="25" s="1"/>
  <c r="L351" i="25" s="1"/>
  <c r="F352" i="25" s="1"/>
  <c r="D412" i="36" l="1"/>
  <c r="B412" i="36" s="1"/>
  <c r="E412" i="36"/>
  <c r="F412" i="36" s="1"/>
  <c r="G412" i="36" s="1"/>
  <c r="C413" i="36" s="1"/>
  <c r="G352" i="25"/>
  <c r="I352" i="25"/>
  <c r="K352" i="25" s="1"/>
  <c r="L352" i="25" s="1"/>
  <c r="F353" i="25" s="1"/>
  <c r="D413" i="36" l="1"/>
  <c r="B413" i="36" s="1"/>
  <c r="E413" i="36"/>
  <c r="F413" i="36" s="1"/>
  <c r="G413" i="36" s="1"/>
  <c r="C414" i="36" s="1"/>
  <c r="G353" i="25"/>
  <c r="I353" i="25"/>
  <c r="K353" i="25" s="1"/>
  <c r="L353" i="25" s="1"/>
  <c r="F354" i="25" s="1"/>
  <c r="D414" i="36" l="1"/>
  <c r="B414" i="36" s="1"/>
  <c r="E414" i="36"/>
  <c r="F414" i="36" s="1"/>
  <c r="G414" i="36" s="1"/>
  <c r="C415" i="36" s="1"/>
  <c r="G354" i="25"/>
  <c r="I354" i="25"/>
  <c r="K354" i="25" s="1"/>
  <c r="L354" i="25" s="1"/>
  <c r="F355" i="25" s="1"/>
  <c r="D415" i="36" l="1"/>
  <c r="B415" i="36" s="1"/>
  <c r="E415" i="36"/>
  <c r="F415" i="36" s="1"/>
  <c r="G415" i="36" s="1"/>
  <c r="C416" i="36" s="1"/>
  <c r="G355" i="25"/>
  <c r="I355" i="25"/>
  <c r="K355" i="25" s="1"/>
  <c r="L355" i="25" s="1"/>
  <c r="F356" i="25" s="1"/>
  <c r="D416" i="36" l="1"/>
  <c r="B416" i="36" s="1"/>
  <c r="E416" i="36"/>
  <c r="F416" i="36" s="1"/>
  <c r="G416" i="36" s="1"/>
  <c r="C417" i="36" s="1"/>
  <c r="G356" i="25"/>
  <c r="I356" i="25"/>
  <c r="K356" i="25" s="1"/>
  <c r="L356" i="25" s="1"/>
  <c r="F357" i="25" s="1"/>
  <c r="D417" i="36" l="1"/>
  <c r="B417" i="36" s="1"/>
  <c r="E417" i="36"/>
  <c r="F417" i="36" s="1"/>
  <c r="G417" i="36" s="1"/>
  <c r="C418" i="36" s="1"/>
  <c r="G357" i="25"/>
  <c r="I357" i="25"/>
  <c r="K357" i="25" s="1"/>
  <c r="L357" i="25" s="1"/>
  <c r="F358" i="25" s="1"/>
  <c r="D418" i="36" l="1"/>
  <c r="B418" i="36" s="1"/>
  <c r="E418" i="36"/>
  <c r="F418" i="36" s="1"/>
  <c r="G418" i="36" s="1"/>
  <c r="C419" i="36" s="1"/>
  <c r="G358" i="25"/>
  <c r="I358" i="25"/>
  <c r="K358" i="25" s="1"/>
  <c r="L358" i="25" s="1"/>
  <c r="F359" i="25" s="1"/>
  <c r="D419" i="36" l="1"/>
  <c r="B419" i="36" s="1"/>
  <c r="E419" i="36"/>
  <c r="F419" i="36" s="1"/>
  <c r="G419" i="36" s="1"/>
  <c r="C420" i="36" s="1"/>
  <c r="G359" i="25"/>
  <c r="I359" i="25"/>
  <c r="K359" i="25" s="1"/>
  <c r="L359" i="25" s="1"/>
  <c r="F360" i="25" s="1"/>
  <c r="E420" i="36" l="1"/>
  <c r="F420" i="36" s="1"/>
  <c r="G420" i="36" s="1"/>
  <c r="C421" i="36" s="1"/>
  <c r="D420" i="36"/>
  <c r="B420" i="36" s="1"/>
  <c r="G360" i="25"/>
  <c r="I360" i="25"/>
  <c r="K360" i="25" s="1"/>
  <c r="L360" i="25" s="1"/>
  <c r="F361" i="25" s="1"/>
  <c r="D421" i="36" l="1"/>
  <c r="B421" i="36" s="1"/>
  <c r="E421" i="36"/>
  <c r="F421" i="36" s="1"/>
  <c r="G421" i="36" s="1"/>
  <c r="C422" i="36" s="1"/>
  <c r="G361" i="25"/>
  <c r="I361" i="25"/>
  <c r="K361" i="25" s="1"/>
  <c r="L361" i="25" s="1"/>
  <c r="F362" i="25" s="1"/>
  <c r="D422" i="36" l="1"/>
  <c r="B422" i="36" s="1"/>
  <c r="E422" i="36"/>
  <c r="F422" i="36" s="1"/>
  <c r="G422" i="36" s="1"/>
  <c r="C423" i="36" s="1"/>
  <c r="G362" i="25"/>
  <c r="I362" i="25"/>
  <c r="K362" i="25" s="1"/>
  <c r="L362" i="25" s="1"/>
  <c r="F363" i="25" s="1"/>
  <c r="D423" i="36" l="1"/>
  <c r="B423" i="36" s="1"/>
  <c r="E423" i="36"/>
  <c r="F423" i="36" s="1"/>
  <c r="G423" i="36" s="1"/>
  <c r="C424" i="36" s="1"/>
  <c r="G363" i="25"/>
  <c r="I363" i="25"/>
  <c r="K363" i="25" s="1"/>
  <c r="L363" i="25" s="1"/>
  <c r="F364" i="25" s="1"/>
  <c r="D424" i="36" l="1"/>
  <c r="B424" i="36" s="1"/>
  <c r="E424" i="36"/>
  <c r="F424" i="36" s="1"/>
  <c r="G424" i="36" s="1"/>
  <c r="C425" i="36" s="1"/>
  <c r="G364" i="25"/>
  <c r="I364" i="25"/>
  <c r="K364" i="25" s="1"/>
  <c r="L364" i="25" s="1"/>
  <c r="F365" i="25" s="1"/>
  <c r="D425" i="36" l="1"/>
  <c r="B425" i="36" s="1"/>
  <c r="E425" i="36"/>
  <c r="F425" i="36" s="1"/>
  <c r="G425" i="36" s="1"/>
  <c r="C426" i="36" s="1"/>
  <c r="G365" i="25"/>
  <c r="I365" i="25"/>
  <c r="K365" i="25" s="1"/>
  <c r="L365" i="25" s="1"/>
  <c r="F366" i="25" s="1"/>
  <c r="D426" i="36" l="1"/>
  <c r="B426" i="36" s="1"/>
  <c r="E426" i="36"/>
  <c r="F426" i="36" s="1"/>
  <c r="G426" i="36" s="1"/>
  <c r="C427" i="36" s="1"/>
  <c r="G366" i="25"/>
  <c r="I366" i="25"/>
  <c r="K366" i="25" s="1"/>
  <c r="L366" i="25" s="1"/>
  <c r="F367" i="25" s="1"/>
  <c r="D427" i="36" l="1"/>
  <c r="B427" i="36" s="1"/>
  <c r="E427" i="36"/>
  <c r="F427" i="36" s="1"/>
  <c r="G427" i="36" s="1"/>
  <c r="C428" i="36" s="1"/>
  <c r="G367" i="25"/>
  <c r="I367" i="25"/>
  <c r="K367" i="25" s="1"/>
  <c r="L367" i="25" s="1"/>
  <c r="F368" i="25" s="1"/>
  <c r="D428" i="36" l="1"/>
  <c r="B428" i="36" s="1"/>
  <c r="E428" i="36"/>
  <c r="F428" i="36" s="1"/>
  <c r="G428" i="36" s="1"/>
  <c r="C429" i="36" s="1"/>
  <c r="G368" i="25"/>
  <c r="I368" i="25"/>
  <c r="K368" i="25" s="1"/>
  <c r="L368" i="25" s="1"/>
  <c r="F369" i="25" s="1"/>
  <c r="D429" i="36" l="1"/>
  <c r="B429" i="36" s="1"/>
  <c r="E429" i="36"/>
  <c r="F429" i="36" s="1"/>
  <c r="G429" i="36" s="1"/>
  <c r="C430" i="36" s="1"/>
  <c r="G369" i="25"/>
  <c r="I369" i="25"/>
  <c r="K369" i="25" s="1"/>
  <c r="L369" i="25" s="1"/>
  <c r="F370" i="25" s="1"/>
  <c r="D430" i="36" l="1"/>
  <c r="B430" i="36" s="1"/>
  <c r="E430" i="36"/>
  <c r="F430" i="36" s="1"/>
  <c r="G430" i="36" s="1"/>
  <c r="C431" i="36" s="1"/>
  <c r="G370" i="25"/>
  <c r="I370" i="25"/>
  <c r="K370" i="25" s="1"/>
  <c r="L370" i="25" s="1"/>
  <c r="F371" i="25" s="1"/>
  <c r="D431" i="36" l="1"/>
  <c r="B431" i="36" s="1"/>
  <c r="E431" i="36"/>
  <c r="F431" i="36" s="1"/>
  <c r="G431" i="36" s="1"/>
  <c r="C432" i="36" s="1"/>
  <c r="G371" i="25"/>
  <c r="I371" i="25"/>
  <c r="K371" i="25" s="1"/>
  <c r="L371" i="25" s="1"/>
  <c r="F372" i="25" s="1"/>
  <c r="D432" i="36" l="1"/>
  <c r="B432" i="36" s="1"/>
  <c r="E432" i="36"/>
  <c r="F432" i="36" s="1"/>
  <c r="G432" i="36" s="1"/>
  <c r="C433" i="36" s="1"/>
  <c r="G372" i="25"/>
  <c r="I372" i="25"/>
  <c r="K372" i="25" s="1"/>
  <c r="L372" i="25" s="1"/>
  <c r="F373" i="25" s="1"/>
  <c r="D433" i="36" l="1"/>
  <c r="B433" i="36" s="1"/>
  <c r="E433" i="36"/>
  <c r="F433" i="36" s="1"/>
  <c r="G433" i="36" s="1"/>
  <c r="C434" i="36" s="1"/>
  <c r="G373" i="25"/>
  <c r="I373" i="25"/>
  <c r="K373" i="25" s="1"/>
  <c r="L373" i="25" s="1"/>
  <c r="F374" i="25" s="1"/>
  <c r="D434" i="36" l="1"/>
  <c r="B434" i="36" s="1"/>
  <c r="E434" i="36"/>
  <c r="F434" i="36" s="1"/>
  <c r="G434" i="36" s="1"/>
  <c r="C435" i="36" s="1"/>
  <c r="G374" i="25"/>
  <c r="I374" i="25"/>
  <c r="K374" i="25" s="1"/>
  <c r="L374" i="25" s="1"/>
  <c r="F375" i="25" s="1"/>
  <c r="D435" i="36" l="1"/>
  <c r="B435" i="36" s="1"/>
  <c r="E435" i="36"/>
  <c r="F435" i="36" s="1"/>
  <c r="G435" i="36" s="1"/>
  <c r="C436" i="36" s="1"/>
  <c r="G375" i="25"/>
  <c r="I375" i="25"/>
  <c r="K375" i="25" s="1"/>
  <c r="L375" i="25" s="1"/>
  <c r="F376" i="25" s="1"/>
  <c r="D436" i="36" l="1"/>
  <c r="B436" i="36" s="1"/>
  <c r="E436" i="36"/>
  <c r="F436" i="36" s="1"/>
  <c r="G436" i="36" s="1"/>
  <c r="C437" i="36" s="1"/>
  <c r="G376" i="25"/>
  <c r="I376" i="25"/>
  <c r="K376" i="25" s="1"/>
  <c r="L376" i="25" s="1"/>
  <c r="F377" i="25" s="1"/>
  <c r="D437" i="36" l="1"/>
  <c r="B437" i="36" s="1"/>
  <c r="E437" i="36"/>
  <c r="F437" i="36" s="1"/>
  <c r="G437" i="36" s="1"/>
  <c r="C438" i="36" s="1"/>
  <c r="G377" i="25"/>
  <c r="I377" i="25"/>
  <c r="K377" i="25" s="1"/>
  <c r="L377" i="25" s="1"/>
  <c r="F378" i="25" s="1"/>
  <c r="E438" i="36" l="1"/>
  <c r="F438" i="36" s="1"/>
  <c r="G438" i="36" s="1"/>
  <c r="C439" i="36" s="1"/>
  <c r="D438" i="36"/>
  <c r="B438" i="36" s="1"/>
  <c r="G378" i="25"/>
  <c r="I378" i="25"/>
  <c r="K378" i="25" s="1"/>
  <c r="L378" i="25" s="1"/>
  <c r="F379" i="25" s="1"/>
  <c r="D439" i="36" l="1"/>
  <c r="B439" i="36" s="1"/>
  <c r="E439" i="36"/>
  <c r="F439" i="36" s="1"/>
  <c r="G439" i="36" s="1"/>
  <c r="C440" i="36" s="1"/>
  <c r="G379" i="25"/>
  <c r="I379" i="25"/>
  <c r="K379" i="25" s="1"/>
  <c r="L379" i="25" s="1"/>
  <c r="F380" i="25" s="1"/>
  <c r="D440" i="36" l="1"/>
  <c r="B440" i="36" s="1"/>
  <c r="E440" i="36"/>
  <c r="F440" i="36" s="1"/>
  <c r="G440" i="36" s="1"/>
  <c r="C441" i="36" s="1"/>
  <c r="G380" i="25"/>
  <c r="I380" i="25"/>
  <c r="K380" i="25" s="1"/>
  <c r="L380" i="25" s="1"/>
  <c r="F381" i="25" s="1"/>
  <c r="D441" i="36" l="1"/>
  <c r="B441" i="36" s="1"/>
  <c r="E441" i="36"/>
  <c r="F441" i="36" s="1"/>
  <c r="G441" i="36" s="1"/>
  <c r="C442" i="36" s="1"/>
  <c r="G381" i="25"/>
  <c r="I381" i="25"/>
  <c r="K381" i="25" s="1"/>
  <c r="L381" i="25" s="1"/>
  <c r="F382" i="25" s="1"/>
  <c r="D442" i="36" l="1"/>
  <c r="B442" i="36" s="1"/>
  <c r="E442" i="36"/>
  <c r="F442" i="36" s="1"/>
  <c r="G442" i="36" s="1"/>
  <c r="C443" i="36" s="1"/>
  <c r="G382" i="25"/>
  <c r="I382" i="25"/>
  <c r="K382" i="25" s="1"/>
  <c r="L382" i="25" s="1"/>
  <c r="F383" i="25" s="1"/>
  <c r="D443" i="36" l="1"/>
  <c r="B443" i="36" s="1"/>
  <c r="E443" i="36"/>
  <c r="F443" i="36" s="1"/>
  <c r="G443" i="36" s="1"/>
  <c r="C444" i="36" s="1"/>
  <c r="G383" i="25"/>
  <c r="I383" i="25"/>
  <c r="K383" i="25" s="1"/>
  <c r="L383" i="25" s="1"/>
  <c r="F384" i="25" s="1"/>
  <c r="D444" i="36" l="1"/>
  <c r="B444" i="36" s="1"/>
  <c r="E444" i="36"/>
  <c r="F444" i="36" s="1"/>
  <c r="G444" i="36" s="1"/>
  <c r="C445" i="36" s="1"/>
  <c r="G384" i="25"/>
  <c r="I384" i="25"/>
  <c r="K384" i="25" s="1"/>
  <c r="L384" i="25" s="1"/>
  <c r="F385" i="25" s="1"/>
  <c r="D445" i="36" l="1"/>
  <c r="B445" i="36" s="1"/>
  <c r="E445" i="36"/>
  <c r="F445" i="36" s="1"/>
  <c r="G445" i="36" s="1"/>
  <c r="C446" i="36" s="1"/>
  <c r="G385" i="25"/>
  <c r="I385" i="25"/>
  <c r="K385" i="25" s="1"/>
  <c r="L385" i="25" s="1"/>
  <c r="F386" i="25" s="1"/>
  <c r="D446" i="36" l="1"/>
  <c r="B446" i="36" s="1"/>
  <c r="E446" i="36"/>
  <c r="F446" i="36" s="1"/>
  <c r="G446" i="36" s="1"/>
  <c r="C447" i="36" s="1"/>
  <c r="G386" i="25"/>
  <c r="I386" i="25"/>
  <c r="K386" i="25" s="1"/>
  <c r="L386" i="25" s="1"/>
  <c r="F387" i="25" s="1"/>
  <c r="D447" i="36" l="1"/>
  <c r="B447" i="36" s="1"/>
  <c r="E447" i="36"/>
  <c r="F447" i="36" s="1"/>
  <c r="G447" i="36" s="1"/>
  <c r="C448" i="36" s="1"/>
  <c r="G387" i="25"/>
  <c r="I387" i="25"/>
  <c r="K387" i="25" s="1"/>
  <c r="L387" i="25" s="1"/>
  <c r="F388" i="25" s="1"/>
  <c r="D448" i="36" l="1"/>
  <c r="B448" i="36" s="1"/>
  <c r="E448" i="36"/>
  <c r="F448" i="36" s="1"/>
  <c r="G448" i="36" s="1"/>
  <c r="C449" i="36" s="1"/>
  <c r="G388" i="25"/>
  <c r="I388" i="25"/>
  <c r="K388" i="25" s="1"/>
  <c r="L388" i="25" s="1"/>
  <c r="F389" i="25" s="1"/>
  <c r="D449" i="36" l="1"/>
  <c r="B449" i="36" s="1"/>
  <c r="E449" i="36"/>
  <c r="F449" i="36" s="1"/>
  <c r="G449" i="36" s="1"/>
  <c r="C450" i="36" s="1"/>
  <c r="G389" i="25"/>
  <c r="I389" i="25"/>
  <c r="K389" i="25" s="1"/>
  <c r="L389" i="25" s="1"/>
  <c r="F390" i="25" s="1"/>
  <c r="D450" i="36" l="1"/>
  <c r="B450" i="36" s="1"/>
  <c r="E450" i="36"/>
  <c r="F450" i="36" s="1"/>
  <c r="G450" i="36" s="1"/>
  <c r="C451" i="36" s="1"/>
  <c r="G390" i="25"/>
  <c r="I390" i="25"/>
  <c r="K390" i="25" s="1"/>
  <c r="L390" i="25" s="1"/>
  <c r="F391" i="25" s="1"/>
  <c r="D451" i="36" l="1"/>
  <c r="B451" i="36" s="1"/>
  <c r="E451" i="36"/>
  <c r="F451" i="36" s="1"/>
  <c r="G451" i="36" s="1"/>
  <c r="C452" i="36" s="1"/>
  <c r="G391" i="25"/>
  <c r="I391" i="25"/>
  <c r="K391" i="25" s="1"/>
  <c r="L391" i="25" s="1"/>
  <c r="F392" i="25" s="1"/>
  <c r="D452" i="36" l="1"/>
  <c r="B452" i="36" s="1"/>
  <c r="E452" i="36"/>
  <c r="F452" i="36" s="1"/>
  <c r="G452" i="36" s="1"/>
  <c r="C453" i="36" s="1"/>
  <c r="G392" i="25"/>
  <c r="I392" i="25"/>
  <c r="K392" i="25" s="1"/>
  <c r="L392" i="25" s="1"/>
  <c r="F393" i="25" s="1"/>
  <c r="D453" i="36" l="1"/>
  <c r="B453" i="36" s="1"/>
  <c r="E453" i="36"/>
  <c r="F453" i="36" s="1"/>
  <c r="G453" i="36" s="1"/>
  <c r="C454" i="36" s="1"/>
  <c r="G393" i="25"/>
  <c r="I393" i="25"/>
  <c r="K393" i="25" s="1"/>
  <c r="L393" i="25" s="1"/>
  <c r="F394" i="25" s="1"/>
  <c r="D454" i="36" l="1"/>
  <c r="B454" i="36" s="1"/>
  <c r="E454" i="36"/>
  <c r="F454" i="36" s="1"/>
  <c r="G454" i="36" s="1"/>
  <c r="C455" i="36" s="1"/>
  <c r="G394" i="25"/>
  <c r="I394" i="25"/>
  <c r="K394" i="25" s="1"/>
  <c r="L394" i="25" s="1"/>
  <c r="F395" i="25" s="1"/>
  <c r="D455" i="36" l="1"/>
  <c r="B455" i="36" s="1"/>
  <c r="E455" i="36"/>
  <c r="F455" i="36" s="1"/>
  <c r="G455" i="36" s="1"/>
  <c r="C456" i="36" s="1"/>
  <c r="G395" i="25"/>
  <c r="I395" i="25"/>
  <c r="K395" i="25" s="1"/>
  <c r="L395" i="25" s="1"/>
  <c r="F396" i="25" s="1"/>
  <c r="D456" i="36" l="1"/>
  <c r="B456" i="36" s="1"/>
  <c r="E456" i="36"/>
  <c r="F456" i="36" s="1"/>
  <c r="G456" i="36" s="1"/>
  <c r="C457" i="36" s="1"/>
  <c r="G396" i="25"/>
  <c r="I396" i="25"/>
  <c r="K396" i="25" s="1"/>
  <c r="L396" i="25" s="1"/>
  <c r="F397" i="25" s="1"/>
  <c r="D457" i="36" l="1"/>
  <c r="B457" i="36" s="1"/>
  <c r="E457" i="36"/>
  <c r="F457" i="36" s="1"/>
  <c r="G457" i="36" s="1"/>
  <c r="C458" i="36" s="1"/>
  <c r="G397" i="25"/>
  <c r="I397" i="25"/>
  <c r="K397" i="25" s="1"/>
  <c r="L397" i="25" s="1"/>
  <c r="F398" i="25" s="1"/>
  <c r="D458" i="36" l="1"/>
  <c r="B458" i="36" s="1"/>
  <c r="E458" i="36"/>
  <c r="F458" i="36" s="1"/>
  <c r="G458" i="36" s="1"/>
  <c r="C459" i="36" s="1"/>
  <c r="G398" i="25"/>
  <c r="I398" i="25"/>
  <c r="K398" i="25" s="1"/>
  <c r="L398" i="25" s="1"/>
  <c r="F399" i="25" s="1"/>
  <c r="D459" i="36" l="1"/>
  <c r="B459" i="36" s="1"/>
  <c r="E459" i="36"/>
  <c r="F459" i="36" s="1"/>
  <c r="G459" i="36" s="1"/>
  <c r="C460" i="36" s="1"/>
  <c r="G399" i="25"/>
  <c r="I399" i="25"/>
  <c r="K399" i="25" s="1"/>
  <c r="L399" i="25" s="1"/>
  <c r="F400" i="25" s="1"/>
  <c r="D460" i="36" l="1"/>
  <c r="B460" i="36" s="1"/>
  <c r="E460" i="36"/>
  <c r="F460" i="36" s="1"/>
  <c r="G460" i="36" s="1"/>
  <c r="C461" i="36" s="1"/>
  <c r="G400" i="25"/>
  <c r="I400" i="25"/>
  <c r="K400" i="25" s="1"/>
  <c r="L400" i="25" s="1"/>
  <c r="F401" i="25" s="1"/>
  <c r="D461" i="36" l="1"/>
  <c r="B461" i="36" s="1"/>
  <c r="E461" i="36"/>
  <c r="F461" i="36" s="1"/>
  <c r="G461" i="36" s="1"/>
  <c r="C462" i="36" s="1"/>
  <c r="G401" i="25"/>
  <c r="I401" i="25"/>
  <c r="K401" i="25" s="1"/>
  <c r="L401" i="25" s="1"/>
  <c r="F402" i="25" s="1"/>
  <c r="D462" i="36" l="1"/>
  <c r="B462" i="36" s="1"/>
  <c r="E462" i="36"/>
  <c r="F462" i="36" s="1"/>
  <c r="G462" i="36" s="1"/>
  <c r="C463" i="36" s="1"/>
  <c r="G402" i="25"/>
  <c r="I402" i="25"/>
  <c r="K402" i="25" s="1"/>
  <c r="L402" i="25" s="1"/>
  <c r="F403" i="25" s="1"/>
  <c r="D463" i="36" l="1"/>
  <c r="B463" i="36" s="1"/>
  <c r="E463" i="36"/>
  <c r="F463" i="36" s="1"/>
  <c r="G463" i="36" s="1"/>
  <c r="C464" i="36" s="1"/>
  <c r="G403" i="25"/>
  <c r="I403" i="25"/>
  <c r="K403" i="25" s="1"/>
  <c r="L403" i="25" s="1"/>
  <c r="F404" i="25" s="1"/>
  <c r="D464" i="36" l="1"/>
  <c r="B464" i="36" s="1"/>
  <c r="E464" i="36"/>
  <c r="F464" i="36" s="1"/>
  <c r="G464" i="36" s="1"/>
  <c r="C465" i="36" s="1"/>
  <c r="G404" i="25"/>
  <c r="I404" i="25"/>
  <c r="K404" i="25" s="1"/>
  <c r="L404" i="25" s="1"/>
  <c r="F405" i="25" s="1"/>
  <c r="D465" i="36" l="1"/>
  <c r="B465" i="36" s="1"/>
  <c r="E465" i="36"/>
  <c r="F465" i="36" s="1"/>
  <c r="G465" i="36" s="1"/>
  <c r="C466" i="36" s="1"/>
  <c r="G405" i="25"/>
  <c r="I405" i="25"/>
  <c r="K405" i="25" s="1"/>
  <c r="L405" i="25" s="1"/>
  <c r="F406" i="25" s="1"/>
  <c r="D466" i="36" l="1"/>
  <c r="E466" i="36"/>
  <c r="F466" i="36" s="1"/>
  <c r="G466" i="36" s="1"/>
  <c r="C467" i="36" s="1"/>
  <c r="G406" i="25"/>
  <c r="I406" i="25"/>
  <c r="K406" i="25" s="1"/>
  <c r="L406" i="25" s="1"/>
  <c r="F407" i="25" s="1"/>
  <c r="B466" i="36" l="1"/>
  <c r="D467" i="36"/>
  <c r="B467" i="36" s="1"/>
  <c r="E467" i="36"/>
  <c r="F467" i="36" s="1"/>
  <c r="G467" i="36" s="1"/>
  <c r="C468" i="36" s="1"/>
  <c r="G407" i="25"/>
  <c r="I407" i="25"/>
  <c r="K407" i="25" s="1"/>
  <c r="L407" i="25" s="1"/>
  <c r="F408" i="25" s="1"/>
  <c r="D468" i="36" l="1"/>
  <c r="B468" i="36" s="1"/>
  <c r="E468" i="36"/>
  <c r="F468" i="36" s="1"/>
  <c r="G468" i="36" s="1"/>
  <c r="C469" i="36" s="1"/>
  <c r="G408" i="25"/>
  <c r="I408" i="25"/>
  <c r="K408" i="25" s="1"/>
  <c r="L408" i="25" s="1"/>
  <c r="F409" i="25" s="1"/>
  <c r="D469" i="36" l="1"/>
  <c r="B469" i="36" s="1"/>
  <c r="E469" i="36"/>
  <c r="F469" i="36" s="1"/>
  <c r="G469" i="36" s="1"/>
  <c r="C470" i="36" s="1"/>
  <c r="G409" i="25"/>
  <c r="I409" i="25"/>
  <c r="K409" i="25" s="1"/>
  <c r="L409" i="25" s="1"/>
  <c r="F410" i="25" s="1"/>
  <c r="D470" i="36" l="1"/>
  <c r="B470" i="36" s="1"/>
  <c r="E470" i="36"/>
  <c r="F470" i="36" s="1"/>
  <c r="G470" i="36" s="1"/>
  <c r="C471" i="36" s="1"/>
  <c r="G410" i="25"/>
  <c r="I410" i="25"/>
  <c r="K410" i="25" s="1"/>
  <c r="L410" i="25" s="1"/>
  <c r="F411" i="25" s="1"/>
  <c r="D471" i="36" l="1"/>
  <c r="B471" i="36" s="1"/>
  <c r="E471" i="36"/>
  <c r="F471" i="36" s="1"/>
  <c r="G471" i="36" s="1"/>
  <c r="C472" i="36" s="1"/>
  <c r="G411" i="25"/>
  <c r="I411" i="25"/>
  <c r="K411" i="25" s="1"/>
  <c r="L411" i="25" s="1"/>
  <c r="F412" i="25" s="1"/>
  <c r="D472" i="36" l="1"/>
  <c r="B472" i="36" s="1"/>
  <c r="E472" i="36"/>
  <c r="F472" i="36" s="1"/>
  <c r="G472" i="36" s="1"/>
  <c r="C473" i="36" s="1"/>
  <c r="G412" i="25"/>
  <c r="I412" i="25"/>
  <c r="K412" i="25" s="1"/>
  <c r="L412" i="25" s="1"/>
  <c r="F413" i="25" s="1"/>
  <c r="D473" i="36" l="1"/>
  <c r="B473" i="36" s="1"/>
  <c r="E473" i="36"/>
  <c r="F473" i="36" s="1"/>
  <c r="G473" i="36" s="1"/>
  <c r="C474" i="36" s="1"/>
  <c r="G413" i="25"/>
  <c r="I413" i="25"/>
  <c r="K413" i="25" s="1"/>
  <c r="L413" i="25" s="1"/>
  <c r="F414" i="25" s="1"/>
  <c r="E474" i="36" l="1"/>
  <c r="F474" i="36" s="1"/>
  <c r="G474" i="36" s="1"/>
  <c r="C475" i="36" s="1"/>
  <c r="D474" i="36"/>
  <c r="B474" i="36" s="1"/>
  <c r="G414" i="25"/>
  <c r="I414" i="25"/>
  <c r="K414" i="25" s="1"/>
  <c r="L414" i="25" s="1"/>
  <c r="F415" i="25" s="1"/>
  <c r="D475" i="36" l="1"/>
  <c r="B475" i="36" s="1"/>
  <c r="E475" i="36"/>
  <c r="F475" i="36" s="1"/>
  <c r="G475" i="36" s="1"/>
  <c r="C476" i="36" s="1"/>
  <c r="G415" i="25"/>
  <c r="I415" i="25"/>
  <c r="K415" i="25" s="1"/>
  <c r="L415" i="25" s="1"/>
  <c r="F416" i="25" s="1"/>
  <c r="D476" i="36" l="1"/>
  <c r="B476" i="36" s="1"/>
  <c r="E476" i="36"/>
  <c r="F476" i="36" s="1"/>
  <c r="G476" i="36" s="1"/>
  <c r="C477" i="36" s="1"/>
  <c r="G416" i="25"/>
  <c r="I416" i="25"/>
  <c r="K416" i="25" s="1"/>
  <c r="L416" i="25" s="1"/>
  <c r="F417" i="25" s="1"/>
  <c r="D477" i="36" l="1"/>
  <c r="B477" i="36" s="1"/>
  <c r="E477" i="36"/>
  <c r="F477" i="36" s="1"/>
  <c r="G477" i="36" s="1"/>
  <c r="C478" i="36" s="1"/>
  <c r="G417" i="25"/>
  <c r="I417" i="25"/>
  <c r="K417" i="25" s="1"/>
  <c r="L417" i="25" s="1"/>
  <c r="F418" i="25" s="1"/>
  <c r="D478" i="36" l="1"/>
  <c r="B478" i="36" s="1"/>
  <c r="E478" i="36"/>
  <c r="F478" i="36" s="1"/>
  <c r="G478" i="36" s="1"/>
  <c r="C479" i="36" s="1"/>
  <c r="G418" i="25"/>
  <c r="I418" i="25"/>
  <c r="K418" i="25" s="1"/>
  <c r="L418" i="25" s="1"/>
  <c r="F419" i="25" s="1"/>
  <c r="D479" i="36" l="1"/>
  <c r="B479" i="36" s="1"/>
  <c r="E479" i="36"/>
  <c r="F479" i="36" s="1"/>
  <c r="G479" i="36" s="1"/>
  <c r="C480" i="36" s="1"/>
  <c r="G419" i="25"/>
  <c r="I419" i="25"/>
  <c r="K419" i="25" s="1"/>
  <c r="L419" i="25" s="1"/>
  <c r="F420" i="25" s="1"/>
  <c r="D480" i="36" l="1"/>
  <c r="B480" i="36" s="1"/>
  <c r="E480" i="36"/>
  <c r="F480" i="36" s="1"/>
  <c r="G480" i="36" s="1"/>
  <c r="C481" i="36" s="1"/>
  <c r="G420" i="25"/>
  <c r="I420" i="25"/>
  <c r="K420" i="25" s="1"/>
  <c r="L420" i="25" s="1"/>
  <c r="F421" i="25" s="1"/>
  <c r="D481" i="36" l="1"/>
  <c r="B481" i="36" s="1"/>
  <c r="E481" i="36"/>
  <c r="F481" i="36" s="1"/>
  <c r="G481" i="36" s="1"/>
  <c r="C482" i="36" s="1"/>
  <c r="G421" i="25"/>
  <c r="I421" i="25"/>
  <c r="K421" i="25" s="1"/>
  <c r="L421" i="25" s="1"/>
  <c r="F422" i="25" s="1"/>
  <c r="D482" i="36" l="1"/>
  <c r="B482" i="36" s="1"/>
  <c r="E482" i="36"/>
  <c r="F482" i="36" s="1"/>
  <c r="G482" i="36" s="1"/>
  <c r="C483" i="36" s="1"/>
  <c r="G422" i="25"/>
  <c r="I422" i="25"/>
  <c r="K422" i="25" s="1"/>
  <c r="L422" i="25" s="1"/>
  <c r="F423" i="25" s="1"/>
  <c r="D483" i="36" l="1"/>
  <c r="B483" i="36" s="1"/>
  <c r="E483" i="36"/>
  <c r="F483" i="36" s="1"/>
  <c r="G483" i="36" s="1"/>
  <c r="C484" i="36" s="1"/>
  <c r="G423" i="25"/>
  <c r="I423" i="25"/>
  <c r="K423" i="25" s="1"/>
  <c r="L423" i="25" s="1"/>
  <c r="F424" i="25" s="1"/>
  <c r="D484" i="36" l="1"/>
  <c r="B484" i="36" s="1"/>
  <c r="E484" i="36"/>
  <c r="F484" i="36" s="1"/>
  <c r="G484" i="36" s="1"/>
  <c r="C485" i="36" s="1"/>
  <c r="G424" i="25"/>
  <c r="I424" i="25"/>
  <c r="K424" i="25" s="1"/>
  <c r="L424" i="25" s="1"/>
  <c r="F425" i="25" s="1"/>
  <c r="D485" i="36" l="1"/>
  <c r="B485" i="36" s="1"/>
  <c r="E485" i="36"/>
  <c r="F485" i="36" s="1"/>
  <c r="G485" i="36" s="1"/>
  <c r="C486" i="36" s="1"/>
  <c r="G425" i="25"/>
  <c r="I425" i="25"/>
  <c r="K425" i="25" s="1"/>
  <c r="L425" i="25" s="1"/>
  <c r="F426" i="25" s="1"/>
  <c r="D486" i="36" l="1"/>
  <c r="B486" i="36" s="1"/>
  <c r="E486" i="36"/>
  <c r="F486" i="36" s="1"/>
  <c r="G486" i="36" s="1"/>
  <c r="C487" i="36" s="1"/>
  <c r="G426" i="25"/>
  <c r="I426" i="25"/>
  <c r="K426" i="25" s="1"/>
  <c r="L426" i="25" s="1"/>
  <c r="F427" i="25" s="1"/>
  <c r="D487" i="36" l="1"/>
  <c r="B487" i="36" s="1"/>
  <c r="E487" i="36"/>
  <c r="F487" i="36" s="1"/>
  <c r="G487" i="36" s="1"/>
  <c r="C488" i="36" s="1"/>
  <c r="G427" i="25"/>
  <c r="I427" i="25"/>
  <c r="K427" i="25" s="1"/>
  <c r="L427" i="25" s="1"/>
  <c r="F428" i="25" s="1"/>
  <c r="D488" i="36" l="1"/>
  <c r="B488" i="36" s="1"/>
  <c r="E488" i="36"/>
  <c r="F488" i="36" s="1"/>
  <c r="G488" i="36" s="1"/>
  <c r="C489" i="36" s="1"/>
  <c r="G428" i="25"/>
  <c r="I428" i="25"/>
  <c r="K428" i="25" s="1"/>
  <c r="L428" i="25" s="1"/>
  <c r="F429" i="25" s="1"/>
  <c r="D489" i="36" l="1"/>
  <c r="B489" i="36" s="1"/>
  <c r="E489" i="36"/>
  <c r="F489" i="36" s="1"/>
  <c r="G489" i="36" s="1"/>
  <c r="C490" i="36" s="1"/>
  <c r="G429" i="25"/>
  <c r="I429" i="25"/>
  <c r="K429" i="25" s="1"/>
  <c r="L429" i="25" s="1"/>
  <c r="F430" i="25" s="1"/>
  <c r="D490" i="36" l="1"/>
  <c r="B490" i="36" s="1"/>
  <c r="E490" i="36"/>
  <c r="F490" i="36" s="1"/>
  <c r="G490" i="36" s="1"/>
  <c r="C491" i="36" s="1"/>
  <c r="G430" i="25"/>
  <c r="I430" i="25"/>
  <c r="K430" i="25" s="1"/>
  <c r="L430" i="25" s="1"/>
  <c r="F431" i="25" s="1"/>
  <c r="D491" i="36" l="1"/>
  <c r="B491" i="36" s="1"/>
  <c r="E491" i="36"/>
  <c r="F491" i="36" s="1"/>
  <c r="G491" i="36" s="1"/>
  <c r="C492" i="36" s="1"/>
  <c r="G431" i="25"/>
  <c r="I431" i="25"/>
  <c r="K431" i="25" s="1"/>
  <c r="L431" i="25" s="1"/>
  <c r="F432" i="25" s="1"/>
  <c r="E492" i="36" l="1"/>
  <c r="F492" i="36" s="1"/>
  <c r="G492" i="36" s="1"/>
  <c r="C493" i="36" s="1"/>
  <c r="D492" i="36"/>
  <c r="B492" i="36" s="1"/>
  <c r="G432" i="25"/>
  <c r="I432" i="25"/>
  <c r="K432" i="25" s="1"/>
  <c r="L432" i="25" s="1"/>
  <c r="F433" i="25" s="1"/>
  <c r="D493" i="36" l="1"/>
  <c r="B493" i="36" s="1"/>
  <c r="E493" i="36"/>
  <c r="F493" i="36" s="1"/>
  <c r="G493" i="36" s="1"/>
  <c r="C494" i="36" s="1"/>
  <c r="G433" i="25"/>
  <c r="I433" i="25"/>
  <c r="K433" i="25" s="1"/>
  <c r="L433" i="25" s="1"/>
  <c r="F434" i="25" s="1"/>
  <c r="D494" i="36" l="1"/>
  <c r="B494" i="36" s="1"/>
  <c r="E494" i="36"/>
  <c r="F494" i="36" s="1"/>
  <c r="G494" i="36" s="1"/>
  <c r="C495" i="36" s="1"/>
  <c r="G434" i="25"/>
  <c r="I434" i="25"/>
  <c r="K434" i="25" s="1"/>
  <c r="L434" i="25" s="1"/>
  <c r="F435" i="25" s="1"/>
  <c r="D495" i="36" l="1"/>
  <c r="B495" i="36" s="1"/>
  <c r="E495" i="36"/>
  <c r="F495" i="36" s="1"/>
  <c r="G495" i="36" s="1"/>
  <c r="C496" i="36" s="1"/>
  <c r="G435" i="25"/>
  <c r="I435" i="25"/>
  <c r="K435" i="25" s="1"/>
  <c r="L435" i="25" s="1"/>
  <c r="F436" i="25" s="1"/>
  <c r="E496" i="36" l="1"/>
  <c r="F496" i="36" s="1"/>
  <c r="G496" i="36" s="1"/>
  <c r="C497" i="36" s="1"/>
  <c r="D496" i="36"/>
  <c r="B496" i="36" s="1"/>
  <c r="G436" i="25"/>
  <c r="I436" i="25"/>
  <c r="K436" i="25" s="1"/>
  <c r="L436" i="25" s="1"/>
  <c r="F437" i="25" s="1"/>
  <c r="D497" i="36" l="1"/>
  <c r="B497" i="36" s="1"/>
  <c r="E497" i="36"/>
  <c r="F497" i="36" s="1"/>
  <c r="G497" i="36" s="1"/>
  <c r="C498" i="36" s="1"/>
  <c r="G437" i="25"/>
  <c r="I437" i="25"/>
  <c r="K437" i="25" s="1"/>
  <c r="L437" i="25" s="1"/>
  <c r="F438" i="25" s="1"/>
  <c r="D498" i="36" l="1"/>
  <c r="B498" i="36" s="1"/>
  <c r="E498" i="36"/>
  <c r="F498" i="36" s="1"/>
  <c r="G498" i="36" s="1"/>
  <c r="C499" i="36" s="1"/>
  <c r="G438" i="25"/>
  <c r="I438" i="25"/>
  <c r="K438" i="25" s="1"/>
  <c r="L438" i="25" s="1"/>
  <c r="F439" i="25" s="1"/>
  <c r="D499" i="36" l="1"/>
  <c r="B499" i="36" s="1"/>
  <c r="E499" i="36"/>
  <c r="F499" i="36" s="1"/>
  <c r="G499" i="36" s="1"/>
  <c r="C500" i="36" s="1"/>
  <c r="G439" i="25"/>
  <c r="I439" i="25"/>
  <c r="K439" i="25" s="1"/>
  <c r="L439" i="25" s="1"/>
  <c r="F440" i="25" s="1"/>
  <c r="D500" i="36" l="1"/>
  <c r="B500" i="36" s="1"/>
  <c r="E500" i="36"/>
  <c r="F500" i="36" s="1"/>
  <c r="G500" i="36" s="1"/>
  <c r="C501" i="36" s="1"/>
  <c r="G440" i="25"/>
  <c r="I440" i="25"/>
  <c r="K440" i="25" s="1"/>
  <c r="L440" i="25" s="1"/>
  <c r="F441" i="25" s="1"/>
  <c r="D501" i="36" l="1"/>
  <c r="B501" i="36" s="1"/>
  <c r="E501" i="36"/>
  <c r="F501" i="36" s="1"/>
  <c r="G501" i="36" s="1"/>
  <c r="C502" i="36" s="1"/>
  <c r="G441" i="25"/>
  <c r="I441" i="25"/>
  <c r="K441" i="25" s="1"/>
  <c r="L441" i="25" s="1"/>
  <c r="F442" i="25" s="1"/>
  <c r="D502" i="36" l="1"/>
  <c r="B502" i="36" s="1"/>
  <c r="E502" i="36"/>
  <c r="F502" i="36" s="1"/>
  <c r="G502" i="36" s="1"/>
  <c r="C503" i="36" s="1"/>
  <c r="G442" i="25"/>
  <c r="I442" i="25"/>
  <c r="K442" i="25" s="1"/>
  <c r="L442" i="25" s="1"/>
  <c r="F443" i="25" s="1"/>
  <c r="D503" i="36" l="1"/>
  <c r="B503" i="36" s="1"/>
  <c r="E503" i="36"/>
  <c r="F503" i="36" s="1"/>
  <c r="G503" i="36" s="1"/>
  <c r="C504" i="36" s="1"/>
  <c r="G443" i="25"/>
  <c r="I443" i="25"/>
  <c r="K443" i="25" s="1"/>
  <c r="L443" i="25" s="1"/>
  <c r="F444" i="25" s="1"/>
  <c r="D504" i="36" l="1"/>
  <c r="B504" i="36" s="1"/>
  <c r="E504" i="36"/>
  <c r="F504" i="36" s="1"/>
  <c r="G504" i="36" s="1"/>
  <c r="C505" i="36" s="1"/>
  <c r="G444" i="25"/>
  <c r="I444" i="25"/>
  <c r="K444" i="25" s="1"/>
  <c r="L444" i="25" s="1"/>
  <c r="F445" i="25" s="1"/>
  <c r="D505" i="36" l="1"/>
  <c r="B505" i="36" s="1"/>
  <c r="E505" i="36"/>
  <c r="F505" i="36" s="1"/>
  <c r="G505" i="36" s="1"/>
  <c r="C506" i="36" s="1"/>
  <c r="G445" i="25"/>
  <c r="I445" i="25"/>
  <c r="K445" i="25" s="1"/>
  <c r="L445" i="25" s="1"/>
  <c r="F446" i="25" s="1"/>
  <c r="D506" i="36" l="1"/>
  <c r="B506" i="36" s="1"/>
  <c r="E506" i="36"/>
  <c r="F506" i="36" s="1"/>
  <c r="G506" i="36" s="1"/>
  <c r="C507" i="36" s="1"/>
  <c r="G446" i="25"/>
  <c r="I446" i="25"/>
  <c r="K446" i="25" s="1"/>
  <c r="L446" i="25" s="1"/>
  <c r="F447" i="25" s="1"/>
  <c r="D507" i="36" l="1"/>
  <c r="B507" i="36" s="1"/>
  <c r="E507" i="36"/>
  <c r="F507" i="36" s="1"/>
  <c r="G507" i="36" s="1"/>
  <c r="C508" i="36" s="1"/>
  <c r="G447" i="25"/>
  <c r="I447" i="25"/>
  <c r="K447" i="25" s="1"/>
  <c r="L447" i="25" s="1"/>
  <c r="F448" i="25" s="1"/>
  <c r="D508" i="36" l="1"/>
  <c r="B508" i="36" s="1"/>
  <c r="E508" i="36"/>
  <c r="F508" i="36" s="1"/>
  <c r="G508" i="36" s="1"/>
  <c r="C509" i="36" s="1"/>
  <c r="G448" i="25"/>
  <c r="I448" i="25"/>
  <c r="K448" i="25" s="1"/>
  <c r="L448" i="25" s="1"/>
  <c r="F449" i="25" s="1"/>
  <c r="D509" i="36" l="1"/>
  <c r="B509" i="36" s="1"/>
  <c r="E509" i="36"/>
  <c r="F509" i="36" s="1"/>
  <c r="G509" i="36" s="1"/>
  <c r="C510" i="36" s="1"/>
  <c r="G449" i="25"/>
  <c r="I449" i="25"/>
  <c r="K449" i="25" s="1"/>
  <c r="L449" i="25" s="1"/>
  <c r="F450" i="25" s="1"/>
  <c r="D510" i="36" l="1"/>
  <c r="B510" i="36" s="1"/>
  <c r="E510" i="36"/>
  <c r="F510" i="36" s="1"/>
  <c r="G510" i="36" s="1"/>
  <c r="C511" i="36" s="1"/>
  <c r="G450" i="25"/>
  <c r="I450" i="25"/>
  <c r="K450" i="25" s="1"/>
  <c r="L450" i="25" s="1"/>
  <c r="F451" i="25" s="1"/>
  <c r="D511" i="36" l="1"/>
  <c r="B511" i="36" s="1"/>
  <c r="E511" i="36"/>
  <c r="F511" i="36" s="1"/>
  <c r="G511" i="36" s="1"/>
  <c r="C512" i="36" s="1"/>
  <c r="G451" i="25"/>
  <c r="I451" i="25"/>
  <c r="K451" i="25" s="1"/>
  <c r="L451" i="25" s="1"/>
  <c r="F452" i="25" s="1"/>
  <c r="D512" i="36" l="1"/>
  <c r="B512" i="36" s="1"/>
  <c r="E512" i="36"/>
  <c r="F512" i="36" s="1"/>
  <c r="G512" i="36" s="1"/>
  <c r="C513" i="36" s="1"/>
  <c r="G452" i="25"/>
  <c r="I452" i="25"/>
  <c r="K452" i="25" s="1"/>
  <c r="L452" i="25" s="1"/>
  <c r="F453" i="25" s="1"/>
  <c r="D513" i="36" l="1"/>
  <c r="B513" i="36" s="1"/>
  <c r="E513" i="36"/>
  <c r="F513" i="36" s="1"/>
  <c r="G513" i="36" s="1"/>
  <c r="C514" i="36" s="1"/>
  <c r="G453" i="25"/>
  <c r="I453" i="25"/>
  <c r="K453" i="25" s="1"/>
  <c r="L453" i="25" s="1"/>
  <c r="F454" i="25" s="1"/>
  <c r="D514" i="36" l="1"/>
  <c r="B514" i="36" s="1"/>
  <c r="E514" i="36"/>
  <c r="F514" i="36" s="1"/>
  <c r="G514" i="36" s="1"/>
  <c r="C515" i="36" s="1"/>
  <c r="G454" i="25"/>
  <c r="I454" i="25"/>
  <c r="K454" i="25" s="1"/>
  <c r="L454" i="25" s="1"/>
  <c r="F455" i="25" s="1"/>
  <c r="D515" i="36" l="1"/>
  <c r="B515" i="36" s="1"/>
  <c r="E515" i="36"/>
  <c r="F515" i="36" s="1"/>
  <c r="G515" i="36" s="1"/>
  <c r="C516" i="36" s="1"/>
  <c r="G455" i="25"/>
  <c r="I455" i="25"/>
  <c r="K455" i="25" s="1"/>
  <c r="L455" i="25" s="1"/>
  <c r="F456" i="25" s="1"/>
  <c r="D516" i="36" l="1"/>
  <c r="B516" i="36" s="1"/>
  <c r="E516" i="36"/>
  <c r="F516" i="36" s="1"/>
  <c r="G516" i="36" s="1"/>
  <c r="C517" i="36" s="1"/>
  <c r="G456" i="25"/>
  <c r="I456" i="25"/>
  <c r="K456" i="25" s="1"/>
  <c r="L456" i="25" s="1"/>
  <c r="F457" i="25" s="1"/>
  <c r="D517" i="36" l="1"/>
  <c r="B517" i="36" s="1"/>
  <c r="E517" i="36"/>
  <c r="F517" i="36" s="1"/>
  <c r="G517" i="36" s="1"/>
  <c r="C518" i="36" s="1"/>
  <c r="G457" i="25"/>
  <c r="I457" i="25"/>
  <c r="K457" i="25" s="1"/>
  <c r="L457" i="25" s="1"/>
  <c r="F458" i="25" s="1"/>
  <c r="D518" i="36" l="1"/>
  <c r="B518" i="36" s="1"/>
  <c r="E518" i="36"/>
  <c r="F518" i="36" s="1"/>
  <c r="G518" i="36" s="1"/>
  <c r="C519" i="36" s="1"/>
  <c r="G458" i="25"/>
  <c r="I458" i="25"/>
  <c r="K458" i="25" s="1"/>
  <c r="L458" i="25" s="1"/>
  <c r="F459" i="25" s="1"/>
  <c r="D519" i="36" l="1"/>
  <c r="B519" i="36" s="1"/>
  <c r="E519" i="36"/>
  <c r="F519" i="36" s="1"/>
  <c r="G519" i="36" s="1"/>
  <c r="C520" i="36" s="1"/>
  <c r="G459" i="25"/>
  <c r="I459" i="25"/>
  <c r="K459" i="25" s="1"/>
  <c r="L459" i="25" s="1"/>
  <c r="F460" i="25" s="1"/>
  <c r="D520" i="36" l="1"/>
  <c r="B520" i="36" s="1"/>
  <c r="E520" i="36"/>
  <c r="F520" i="36" s="1"/>
  <c r="G520" i="36" s="1"/>
  <c r="C521" i="36" s="1"/>
  <c r="G460" i="25"/>
  <c r="I460" i="25"/>
  <c r="K460" i="25" s="1"/>
  <c r="L460" i="25" s="1"/>
  <c r="F461" i="25" s="1"/>
  <c r="D521" i="36" l="1"/>
  <c r="B521" i="36" s="1"/>
  <c r="E521" i="36"/>
  <c r="F521" i="36" s="1"/>
  <c r="G521" i="36" s="1"/>
  <c r="C522" i="36" s="1"/>
  <c r="G461" i="25"/>
  <c r="I461" i="25"/>
  <c r="K461" i="25" s="1"/>
  <c r="L461" i="25" s="1"/>
  <c r="F462" i="25" s="1"/>
  <c r="D522" i="36" l="1"/>
  <c r="B522" i="36" s="1"/>
  <c r="E522" i="36"/>
  <c r="F522" i="36" s="1"/>
  <c r="G522" i="36" s="1"/>
  <c r="C523" i="36" s="1"/>
  <c r="G462" i="25"/>
  <c r="I462" i="25"/>
  <c r="K462" i="25" s="1"/>
  <c r="L462" i="25" s="1"/>
  <c r="F463" i="25" s="1"/>
  <c r="D523" i="36" l="1"/>
  <c r="B523" i="36" s="1"/>
  <c r="E523" i="36"/>
  <c r="F523" i="36" s="1"/>
  <c r="G523" i="36" s="1"/>
  <c r="C524" i="36" s="1"/>
  <c r="G463" i="25"/>
  <c r="I463" i="25"/>
  <c r="K463" i="25" s="1"/>
  <c r="L463" i="25" s="1"/>
  <c r="F464" i="25" s="1"/>
  <c r="D524" i="36" l="1"/>
  <c r="B524" i="36" s="1"/>
  <c r="E524" i="36"/>
  <c r="F524" i="36" s="1"/>
  <c r="G524" i="36" s="1"/>
  <c r="C525" i="36" s="1"/>
  <c r="G464" i="25"/>
  <c r="I464" i="25"/>
  <c r="K464" i="25" s="1"/>
  <c r="L464" i="25" s="1"/>
  <c r="F465" i="25" s="1"/>
  <c r="D525" i="36" l="1"/>
  <c r="B525" i="36" s="1"/>
  <c r="E525" i="36"/>
  <c r="F525" i="36" s="1"/>
  <c r="G525" i="36" s="1"/>
  <c r="C526" i="36" s="1"/>
  <c r="G465" i="25"/>
  <c r="I465" i="25"/>
  <c r="K465" i="25" s="1"/>
  <c r="L465" i="25" s="1"/>
  <c r="F466" i="25" s="1"/>
  <c r="D526" i="36" l="1"/>
  <c r="B526" i="36" s="1"/>
  <c r="E526" i="36"/>
  <c r="F526" i="36" s="1"/>
  <c r="G526" i="36" s="1"/>
  <c r="C527" i="36" s="1"/>
  <c r="G466" i="25"/>
  <c r="I466" i="25"/>
  <c r="K466" i="25" s="1"/>
  <c r="L466" i="25" s="1"/>
  <c r="F467" i="25" s="1"/>
  <c r="D527" i="36" l="1"/>
  <c r="B527" i="36" s="1"/>
  <c r="E527" i="36"/>
  <c r="F527" i="36" s="1"/>
  <c r="G527" i="36" s="1"/>
  <c r="C528" i="36" s="1"/>
  <c r="G467" i="25"/>
  <c r="I467" i="25"/>
  <c r="K467" i="25" s="1"/>
  <c r="L467" i="25" s="1"/>
  <c r="F468" i="25" s="1"/>
  <c r="D528" i="36" l="1"/>
  <c r="B528" i="36" s="1"/>
  <c r="E528" i="36"/>
  <c r="F528" i="36" s="1"/>
  <c r="G528" i="36" s="1"/>
  <c r="C529" i="36" s="1"/>
  <c r="G468" i="25"/>
  <c r="I468" i="25"/>
  <c r="K468" i="25" s="1"/>
  <c r="L468" i="25" s="1"/>
  <c r="F469" i="25" s="1"/>
  <c r="D529" i="36" l="1"/>
  <c r="B529" i="36" s="1"/>
  <c r="E529" i="36"/>
  <c r="F529" i="36" s="1"/>
  <c r="G529" i="36" s="1"/>
  <c r="C530" i="36" s="1"/>
  <c r="G469" i="25"/>
  <c r="I469" i="25"/>
  <c r="K469" i="25" s="1"/>
  <c r="L469" i="25" s="1"/>
  <c r="F470" i="25" s="1"/>
  <c r="D530" i="36" l="1"/>
  <c r="B530" i="36" s="1"/>
  <c r="E530" i="36"/>
  <c r="F530" i="36" s="1"/>
  <c r="G530" i="36" s="1"/>
  <c r="C531" i="36" s="1"/>
  <c r="G470" i="25"/>
  <c r="I470" i="25"/>
  <c r="K470" i="25" s="1"/>
  <c r="L470" i="25" s="1"/>
  <c r="F471" i="25" s="1"/>
  <c r="D531" i="36" l="1"/>
  <c r="B531" i="36" s="1"/>
  <c r="E531" i="36"/>
  <c r="F531" i="36" s="1"/>
  <c r="G531" i="36" s="1"/>
  <c r="C532" i="36" s="1"/>
  <c r="G471" i="25"/>
  <c r="I471" i="25"/>
  <c r="K471" i="25" s="1"/>
  <c r="L471" i="25" s="1"/>
  <c r="F472" i="25" s="1"/>
  <c r="D532" i="36" l="1"/>
  <c r="B532" i="36" s="1"/>
  <c r="E532" i="36"/>
  <c r="F532" i="36" s="1"/>
  <c r="G532" i="36" s="1"/>
  <c r="C533" i="36" s="1"/>
  <c r="G472" i="25"/>
  <c r="I472" i="25"/>
  <c r="K472" i="25" s="1"/>
  <c r="L472" i="25" s="1"/>
  <c r="F473" i="25" s="1"/>
  <c r="D533" i="36" l="1"/>
  <c r="B533" i="36" s="1"/>
  <c r="E533" i="36"/>
  <c r="F533" i="36" s="1"/>
  <c r="G533" i="36" s="1"/>
  <c r="C534" i="36" s="1"/>
  <c r="G473" i="25"/>
  <c r="I473" i="25"/>
  <c r="K473" i="25" s="1"/>
  <c r="L473" i="25" s="1"/>
  <c r="F474" i="25" s="1"/>
  <c r="D534" i="36" l="1"/>
  <c r="B534" i="36" s="1"/>
  <c r="E534" i="36"/>
  <c r="F534" i="36" s="1"/>
  <c r="G534" i="36" s="1"/>
  <c r="C535" i="36" s="1"/>
  <c r="G474" i="25"/>
  <c r="I474" i="25"/>
  <c r="K474" i="25" s="1"/>
  <c r="L474" i="25" s="1"/>
  <c r="F475" i="25" s="1"/>
  <c r="D535" i="36" l="1"/>
  <c r="B535" i="36" s="1"/>
  <c r="E535" i="36"/>
  <c r="F535" i="36" s="1"/>
  <c r="G535" i="36" s="1"/>
  <c r="C536" i="36" s="1"/>
  <c r="G475" i="25"/>
  <c r="I475" i="25"/>
  <c r="K475" i="25" s="1"/>
  <c r="L475" i="25" s="1"/>
  <c r="F476" i="25" s="1"/>
  <c r="D536" i="36" l="1"/>
  <c r="B536" i="36" s="1"/>
  <c r="E536" i="36"/>
  <c r="F536" i="36" s="1"/>
  <c r="G536" i="36" s="1"/>
  <c r="C537" i="36" s="1"/>
  <c r="G476" i="25"/>
  <c r="I476" i="25"/>
  <c r="K476" i="25" s="1"/>
  <c r="L476" i="25" s="1"/>
  <c r="F477" i="25" s="1"/>
  <c r="D537" i="36" l="1"/>
  <c r="B537" i="36" s="1"/>
  <c r="E537" i="36"/>
  <c r="F537" i="36" s="1"/>
  <c r="G537" i="36" s="1"/>
  <c r="C538" i="36" s="1"/>
  <c r="G477" i="25"/>
  <c r="I477" i="25"/>
  <c r="K477" i="25" s="1"/>
  <c r="L477" i="25" s="1"/>
  <c r="F478" i="25" s="1"/>
  <c r="D538" i="36" l="1"/>
  <c r="B538" i="36" s="1"/>
  <c r="E538" i="36"/>
  <c r="F538" i="36" s="1"/>
  <c r="G538" i="36" s="1"/>
  <c r="C539" i="36" s="1"/>
  <c r="G478" i="25"/>
  <c r="I478" i="25"/>
  <c r="K478" i="25" s="1"/>
  <c r="L478" i="25" s="1"/>
  <c r="F479" i="25" s="1"/>
  <c r="D539" i="36" l="1"/>
  <c r="B539" i="36" s="1"/>
  <c r="E539" i="36"/>
  <c r="F539" i="36" s="1"/>
  <c r="G539" i="36" s="1"/>
  <c r="C540" i="36" s="1"/>
  <c r="G479" i="25"/>
  <c r="I479" i="25"/>
  <c r="K479" i="25" s="1"/>
  <c r="L479" i="25" s="1"/>
  <c r="F480" i="25" s="1"/>
  <c r="D540" i="36" l="1"/>
  <c r="B540" i="36" s="1"/>
  <c r="E540" i="36"/>
  <c r="F540" i="36" s="1"/>
  <c r="G540" i="36" s="1"/>
  <c r="C541" i="36" s="1"/>
  <c r="G480" i="25"/>
  <c r="I480" i="25"/>
  <c r="K480" i="25" s="1"/>
  <c r="L480" i="25" s="1"/>
  <c r="F481" i="25" s="1"/>
  <c r="D541" i="36" l="1"/>
  <c r="B541" i="36" s="1"/>
  <c r="E541" i="36"/>
  <c r="F541" i="36" s="1"/>
  <c r="G541" i="36" s="1"/>
  <c r="C542" i="36" s="1"/>
  <c r="G481" i="25"/>
  <c r="I481" i="25"/>
  <c r="K481" i="25" s="1"/>
  <c r="L481" i="25" s="1"/>
  <c r="F482" i="25" s="1"/>
  <c r="D542" i="36" l="1"/>
  <c r="B542" i="36" s="1"/>
  <c r="E542" i="36"/>
  <c r="F542" i="36" s="1"/>
  <c r="G542" i="36" s="1"/>
  <c r="C543" i="36" s="1"/>
  <c r="G482" i="25"/>
  <c r="I482" i="25"/>
  <c r="K482" i="25" s="1"/>
  <c r="L482" i="25" s="1"/>
  <c r="F483" i="25" s="1"/>
  <c r="D543" i="36" l="1"/>
  <c r="B543" i="36" s="1"/>
  <c r="E543" i="36"/>
  <c r="F543" i="36" s="1"/>
  <c r="G543" i="36" s="1"/>
  <c r="C544" i="36" s="1"/>
  <c r="G483" i="25"/>
  <c r="I483" i="25"/>
  <c r="K483" i="25" s="1"/>
  <c r="L483" i="25" s="1"/>
  <c r="F484" i="25" s="1"/>
  <c r="D544" i="36" l="1"/>
  <c r="B544" i="36" s="1"/>
  <c r="E544" i="36"/>
  <c r="F544" i="36" s="1"/>
  <c r="G544" i="36" s="1"/>
  <c r="C545" i="36" s="1"/>
  <c r="G484" i="25"/>
  <c r="I484" i="25"/>
  <c r="K484" i="25" s="1"/>
  <c r="L484" i="25" s="1"/>
  <c r="F485" i="25" s="1"/>
  <c r="D545" i="36" l="1"/>
  <c r="B545" i="36" s="1"/>
  <c r="E545" i="36"/>
  <c r="F545" i="36" s="1"/>
  <c r="G545" i="36" s="1"/>
  <c r="C546" i="36" s="1"/>
  <c r="G485" i="25"/>
  <c r="I485" i="25"/>
  <c r="K485" i="25" s="1"/>
  <c r="L485" i="25" s="1"/>
  <c r="F486" i="25" s="1"/>
  <c r="D546" i="36" l="1"/>
  <c r="B546" i="36" s="1"/>
  <c r="E546" i="36"/>
  <c r="F546" i="36" s="1"/>
  <c r="G546" i="36" s="1"/>
  <c r="C547" i="36" s="1"/>
  <c r="G486" i="25"/>
  <c r="I486" i="25"/>
  <c r="K486" i="25" s="1"/>
  <c r="L486" i="25" s="1"/>
  <c r="F487" i="25" s="1"/>
  <c r="D547" i="36" l="1"/>
  <c r="B547" i="36" s="1"/>
  <c r="E547" i="36"/>
  <c r="F547" i="36" s="1"/>
  <c r="G547" i="36" s="1"/>
  <c r="C548" i="36" s="1"/>
  <c r="G487" i="25"/>
  <c r="I487" i="25"/>
  <c r="K487" i="25" s="1"/>
  <c r="L487" i="25" s="1"/>
  <c r="F488" i="25" s="1"/>
  <c r="D548" i="36" l="1"/>
  <c r="B548" i="36" s="1"/>
  <c r="E548" i="36"/>
  <c r="F548" i="36" s="1"/>
  <c r="G548" i="36" s="1"/>
  <c r="C549" i="36" s="1"/>
  <c r="G488" i="25"/>
  <c r="I488" i="25"/>
  <c r="K488" i="25" s="1"/>
  <c r="L488" i="25" s="1"/>
  <c r="F489" i="25" s="1"/>
  <c r="D549" i="36" l="1"/>
  <c r="B549" i="36" s="1"/>
  <c r="E549" i="36"/>
  <c r="F549" i="36" s="1"/>
  <c r="G549" i="36" s="1"/>
  <c r="C550" i="36" s="1"/>
  <c r="G489" i="25"/>
  <c r="I489" i="25"/>
  <c r="K489" i="25" s="1"/>
  <c r="L489" i="25" s="1"/>
  <c r="F490" i="25" s="1"/>
  <c r="D550" i="36" l="1"/>
  <c r="B550" i="36" s="1"/>
  <c r="E550" i="36"/>
  <c r="F550" i="36" s="1"/>
  <c r="G550" i="36" s="1"/>
  <c r="C551" i="36" s="1"/>
  <c r="G490" i="25"/>
  <c r="I490" i="25"/>
  <c r="K490" i="25" s="1"/>
  <c r="L490" i="25" s="1"/>
  <c r="F491" i="25" s="1"/>
  <c r="D551" i="36" l="1"/>
  <c r="B551" i="36" s="1"/>
  <c r="E551" i="36"/>
  <c r="F551" i="36" s="1"/>
  <c r="G551" i="36" s="1"/>
  <c r="C552" i="36" s="1"/>
  <c r="G491" i="25"/>
  <c r="I491" i="25"/>
  <c r="K491" i="25" s="1"/>
  <c r="L491" i="25" s="1"/>
  <c r="F492" i="25" s="1"/>
  <c r="D552" i="36" l="1"/>
  <c r="B552" i="36" s="1"/>
  <c r="E552" i="36"/>
  <c r="F552" i="36" s="1"/>
  <c r="G552" i="36" s="1"/>
  <c r="C553" i="36" s="1"/>
  <c r="G492" i="25"/>
  <c r="I492" i="25"/>
  <c r="K492" i="25" s="1"/>
  <c r="L492" i="25" s="1"/>
  <c r="F493" i="25" s="1"/>
  <c r="D553" i="36" l="1"/>
  <c r="B553" i="36" s="1"/>
  <c r="E553" i="36"/>
  <c r="F553" i="36" s="1"/>
  <c r="G553" i="36" s="1"/>
  <c r="C554" i="36" s="1"/>
  <c r="G493" i="25"/>
  <c r="I493" i="25"/>
  <c r="K493" i="25" s="1"/>
  <c r="L493" i="25" s="1"/>
  <c r="F494" i="25" s="1"/>
  <c r="D554" i="36" l="1"/>
  <c r="B554" i="36" s="1"/>
  <c r="E554" i="36"/>
  <c r="F554" i="36" s="1"/>
  <c r="G554" i="36" s="1"/>
  <c r="C555" i="36" s="1"/>
  <c r="G494" i="25"/>
  <c r="I494" i="25"/>
  <c r="K494" i="25" s="1"/>
  <c r="L494" i="25" s="1"/>
  <c r="F495" i="25" s="1"/>
  <c r="D555" i="36" l="1"/>
  <c r="B555" i="36" s="1"/>
  <c r="E555" i="36"/>
  <c r="F555" i="36" s="1"/>
  <c r="G555" i="36" s="1"/>
  <c r="C556" i="36" s="1"/>
  <c r="G495" i="25"/>
  <c r="I495" i="25"/>
  <c r="K495" i="25" s="1"/>
  <c r="L495" i="25" s="1"/>
  <c r="F496" i="25" s="1"/>
  <c r="D556" i="36" l="1"/>
  <c r="B556" i="36" s="1"/>
  <c r="E556" i="36"/>
  <c r="F556" i="36" s="1"/>
  <c r="G556" i="36" s="1"/>
  <c r="C557" i="36" s="1"/>
  <c r="G496" i="25"/>
  <c r="I496" i="25"/>
  <c r="K496" i="25" s="1"/>
  <c r="L496" i="25" s="1"/>
  <c r="F497" i="25" s="1"/>
  <c r="D557" i="36" l="1"/>
  <c r="B557" i="36" s="1"/>
  <c r="E557" i="36"/>
  <c r="F557" i="36" s="1"/>
  <c r="G557" i="36" s="1"/>
  <c r="C558" i="36" s="1"/>
  <c r="G497" i="25"/>
  <c r="I497" i="25"/>
  <c r="K497" i="25" s="1"/>
  <c r="L497" i="25" s="1"/>
  <c r="F498" i="25" s="1"/>
  <c r="D558" i="36" l="1"/>
  <c r="B558" i="36" s="1"/>
  <c r="E558" i="36"/>
  <c r="F558" i="36" s="1"/>
  <c r="G558" i="36" s="1"/>
  <c r="C559" i="36" s="1"/>
  <c r="G498" i="25"/>
  <c r="I498" i="25"/>
  <c r="K498" i="25" s="1"/>
  <c r="L498" i="25" s="1"/>
  <c r="F499" i="25" s="1"/>
  <c r="D559" i="36" l="1"/>
  <c r="B559" i="36" s="1"/>
  <c r="E559" i="36"/>
  <c r="F559" i="36" s="1"/>
  <c r="G559" i="36" s="1"/>
  <c r="C560" i="36" s="1"/>
  <c r="G499" i="25"/>
  <c r="I499" i="25"/>
  <c r="K499" i="25" s="1"/>
  <c r="L499" i="25" s="1"/>
  <c r="F500" i="25" s="1"/>
  <c r="D560" i="36" l="1"/>
  <c r="B560" i="36" s="1"/>
  <c r="E560" i="36"/>
  <c r="F560" i="36" s="1"/>
  <c r="G560" i="36" s="1"/>
  <c r="C561" i="36" s="1"/>
  <c r="G500" i="25"/>
  <c r="I500" i="25"/>
  <c r="K500" i="25" s="1"/>
  <c r="L500" i="25" s="1"/>
  <c r="F501" i="25" s="1"/>
  <c r="D561" i="36" l="1"/>
  <c r="B561" i="36" s="1"/>
  <c r="E561" i="36"/>
  <c r="F561" i="36" s="1"/>
  <c r="G561" i="36" s="1"/>
  <c r="C562" i="36" s="1"/>
  <c r="G501" i="25"/>
  <c r="I501" i="25"/>
  <c r="K501" i="25" s="1"/>
  <c r="L501" i="25" s="1"/>
  <c r="F502" i="25" s="1"/>
  <c r="D562" i="36" l="1"/>
  <c r="B562" i="36" s="1"/>
  <c r="E562" i="36"/>
  <c r="F562" i="36" s="1"/>
  <c r="G562" i="36" s="1"/>
  <c r="C563" i="36" s="1"/>
  <c r="G502" i="25"/>
  <c r="I502" i="25"/>
  <c r="K502" i="25" s="1"/>
  <c r="L502" i="25" s="1"/>
  <c r="F503" i="25" s="1"/>
  <c r="D563" i="36" l="1"/>
  <c r="B563" i="36" s="1"/>
  <c r="E563" i="36"/>
  <c r="F563" i="36" s="1"/>
  <c r="G563" i="36" s="1"/>
  <c r="C564" i="36" s="1"/>
  <c r="G503" i="25"/>
  <c r="I503" i="25"/>
  <c r="K503" i="25" s="1"/>
  <c r="L503" i="25" s="1"/>
  <c r="F504" i="25" s="1"/>
  <c r="D564" i="36" l="1"/>
  <c r="B564" i="36" s="1"/>
  <c r="E564" i="36"/>
  <c r="F564" i="36" s="1"/>
  <c r="G564" i="36" s="1"/>
  <c r="C565" i="36" s="1"/>
  <c r="G504" i="25"/>
  <c r="I504" i="25"/>
  <c r="K504" i="25" s="1"/>
  <c r="L504" i="25" s="1"/>
  <c r="F505" i="25" s="1"/>
  <c r="D565" i="36" l="1"/>
  <c r="B565" i="36" s="1"/>
  <c r="E565" i="36"/>
  <c r="F565" i="36" s="1"/>
  <c r="G565" i="36" s="1"/>
  <c r="C566" i="36" s="1"/>
  <c r="G505" i="25"/>
  <c r="I505" i="25"/>
  <c r="K505" i="25" s="1"/>
  <c r="L505" i="25" s="1"/>
  <c r="F506" i="25" s="1"/>
  <c r="D566" i="36" l="1"/>
  <c r="B566" i="36" s="1"/>
  <c r="E566" i="36"/>
  <c r="F566" i="36" s="1"/>
  <c r="G566" i="36" s="1"/>
  <c r="C567" i="36" s="1"/>
  <c r="G506" i="25"/>
  <c r="I506" i="25"/>
  <c r="K506" i="25" s="1"/>
  <c r="L506" i="25" s="1"/>
  <c r="F507" i="25" s="1"/>
  <c r="D567" i="36" l="1"/>
  <c r="B567" i="36" s="1"/>
  <c r="E567" i="36"/>
  <c r="F567" i="36" s="1"/>
  <c r="G567" i="36" s="1"/>
  <c r="C568" i="36" s="1"/>
  <c r="G507" i="25"/>
  <c r="I507" i="25"/>
  <c r="K507" i="25" s="1"/>
  <c r="L507" i="25" s="1"/>
  <c r="F508" i="25" s="1"/>
  <c r="D568" i="36" l="1"/>
  <c r="B568" i="36" s="1"/>
  <c r="E568" i="36"/>
  <c r="F568" i="36" s="1"/>
  <c r="G568" i="36" s="1"/>
  <c r="C569" i="36" s="1"/>
  <c r="G508" i="25"/>
  <c r="I508" i="25"/>
  <c r="K508" i="25" s="1"/>
  <c r="L508" i="25" s="1"/>
  <c r="F509" i="25" s="1"/>
  <c r="D569" i="36" l="1"/>
  <c r="B569" i="36" s="1"/>
  <c r="E569" i="36"/>
  <c r="F569" i="36" s="1"/>
  <c r="G569" i="36" s="1"/>
  <c r="C570" i="36" s="1"/>
  <c r="G509" i="25"/>
  <c r="I509" i="25"/>
  <c r="K509" i="25" s="1"/>
  <c r="L509" i="25" s="1"/>
  <c r="F510" i="25" s="1"/>
  <c r="D570" i="36" l="1"/>
  <c r="B570" i="36" s="1"/>
  <c r="E570" i="36"/>
  <c r="F570" i="36" s="1"/>
  <c r="G570" i="36" s="1"/>
  <c r="C571" i="36" s="1"/>
  <c r="G510" i="25"/>
  <c r="I510" i="25"/>
  <c r="K510" i="25" s="1"/>
  <c r="L510" i="25" s="1"/>
  <c r="F511" i="25" s="1"/>
  <c r="D571" i="36" l="1"/>
  <c r="B571" i="36" s="1"/>
  <c r="E571" i="36"/>
  <c r="F571" i="36" s="1"/>
  <c r="G571" i="36" s="1"/>
  <c r="C572" i="36" s="1"/>
  <c r="G511" i="25"/>
  <c r="I511" i="25"/>
  <c r="K511" i="25" s="1"/>
  <c r="L511" i="25" s="1"/>
  <c r="F512" i="25" s="1"/>
  <c r="D572" i="36" l="1"/>
  <c r="B572" i="36" s="1"/>
  <c r="E572" i="36"/>
  <c r="F572" i="36" s="1"/>
  <c r="G572" i="36" s="1"/>
  <c r="C573" i="36" s="1"/>
  <c r="G512" i="25"/>
  <c r="I512" i="25"/>
  <c r="K512" i="25" s="1"/>
  <c r="L512" i="25" s="1"/>
  <c r="F513" i="25" s="1"/>
  <c r="D573" i="36" l="1"/>
  <c r="B573" i="36" s="1"/>
  <c r="E573" i="36"/>
  <c r="F573" i="36" s="1"/>
  <c r="G573" i="36" s="1"/>
  <c r="C574" i="36" s="1"/>
  <c r="G513" i="25"/>
  <c r="I513" i="25"/>
  <c r="K513" i="25" s="1"/>
  <c r="L513" i="25" s="1"/>
  <c r="F514" i="25" s="1"/>
  <c r="D574" i="36" l="1"/>
  <c r="B574" i="36" s="1"/>
  <c r="E574" i="36"/>
  <c r="F574" i="36" s="1"/>
  <c r="G574" i="36" s="1"/>
  <c r="C575" i="36" s="1"/>
  <c r="G514" i="25"/>
  <c r="I514" i="25"/>
  <c r="K514" i="25" s="1"/>
  <c r="L514" i="25" s="1"/>
  <c r="F515" i="25" s="1"/>
  <c r="D575" i="36" l="1"/>
  <c r="B575" i="36" s="1"/>
  <c r="E575" i="36"/>
  <c r="F575" i="36" s="1"/>
  <c r="G575" i="36" s="1"/>
  <c r="C576" i="36" s="1"/>
  <c r="G515" i="25"/>
  <c r="I515" i="25"/>
  <c r="K515" i="25" s="1"/>
  <c r="L515" i="25" s="1"/>
  <c r="F516" i="25" s="1"/>
  <c r="D576" i="36" l="1"/>
  <c r="B576" i="36" s="1"/>
  <c r="E576" i="36"/>
  <c r="F576" i="36" s="1"/>
  <c r="G576" i="36" s="1"/>
  <c r="C577" i="36" s="1"/>
  <c r="G516" i="25"/>
  <c r="I516" i="25"/>
  <c r="K516" i="25" s="1"/>
  <c r="L516" i="25" s="1"/>
  <c r="F517" i="25" s="1"/>
  <c r="D577" i="36" l="1"/>
  <c r="B577" i="36" s="1"/>
  <c r="E577" i="36"/>
  <c r="F577" i="36" s="1"/>
  <c r="G577" i="36" s="1"/>
  <c r="C578" i="36" s="1"/>
  <c r="G517" i="25"/>
  <c r="I517" i="25"/>
  <c r="K517" i="25" s="1"/>
  <c r="L517" i="25" s="1"/>
  <c r="F518" i="25" s="1"/>
  <c r="D578" i="36" l="1"/>
  <c r="B578" i="36" s="1"/>
  <c r="E578" i="36"/>
  <c r="F578" i="36" s="1"/>
  <c r="G578" i="36" s="1"/>
  <c r="C579" i="36" s="1"/>
  <c r="G518" i="25"/>
  <c r="I518" i="25"/>
  <c r="K518" i="25" s="1"/>
  <c r="L518" i="25" s="1"/>
  <c r="F519" i="25" s="1"/>
  <c r="D579" i="36" l="1"/>
  <c r="B579" i="36" s="1"/>
  <c r="E579" i="36"/>
  <c r="F579" i="36" s="1"/>
  <c r="G579" i="36" s="1"/>
  <c r="C580" i="36" s="1"/>
  <c r="G519" i="25"/>
  <c r="I519" i="25"/>
  <c r="K519" i="25" s="1"/>
  <c r="L519" i="25" s="1"/>
  <c r="F520" i="25" s="1"/>
  <c r="D580" i="36" l="1"/>
  <c r="B580" i="36" s="1"/>
  <c r="E580" i="36"/>
  <c r="F580" i="36" s="1"/>
  <c r="G580" i="36" s="1"/>
  <c r="C581" i="36" s="1"/>
  <c r="G520" i="25"/>
  <c r="I520" i="25"/>
  <c r="K520" i="25" s="1"/>
  <c r="L520" i="25" s="1"/>
  <c r="F521" i="25" s="1"/>
  <c r="D581" i="36" l="1"/>
  <c r="B581" i="36" s="1"/>
  <c r="E581" i="36"/>
  <c r="F581" i="36" s="1"/>
  <c r="G581" i="36" s="1"/>
  <c r="C582" i="36" s="1"/>
  <c r="G521" i="25"/>
  <c r="I521" i="25"/>
  <c r="K521" i="25" s="1"/>
  <c r="L521" i="25" s="1"/>
  <c r="F522" i="25" s="1"/>
  <c r="D582" i="36" l="1"/>
  <c r="B582" i="36" s="1"/>
  <c r="E582" i="36"/>
  <c r="F582" i="36" s="1"/>
  <c r="G582" i="36" s="1"/>
  <c r="C583" i="36" s="1"/>
  <c r="G522" i="25"/>
  <c r="I522" i="25"/>
  <c r="K522" i="25" s="1"/>
  <c r="L522" i="25" s="1"/>
  <c r="F523" i="25" s="1"/>
  <c r="D583" i="36" l="1"/>
  <c r="B583" i="36" s="1"/>
  <c r="E583" i="36"/>
  <c r="F583" i="36" s="1"/>
  <c r="G583" i="36" s="1"/>
  <c r="C584" i="36" s="1"/>
  <c r="G523" i="25"/>
  <c r="I523" i="25"/>
  <c r="K523" i="25" s="1"/>
  <c r="L523" i="25" s="1"/>
  <c r="F524" i="25" s="1"/>
  <c r="D584" i="36" l="1"/>
  <c r="B584" i="36" s="1"/>
  <c r="E584" i="36"/>
  <c r="F584" i="36" s="1"/>
  <c r="G584" i="36" s="1"/>
  <c r="C585" i="36" s="1"/>
  <c r="G524" i="25"/>
  <c r="I524" i="25"/>
  <c r="K524" i="25" s="1"/>
  <c r="L524" i="25" s="1"/>
  <c r="F525" i="25" s="1"/>
  <c r="D585" i="36" l="1"/>
  <c r="B585" i="36" s="1"/>
  <c r="E585" i="36"/>
  <c r="F585" i="36" s="1"/>
  <c r="G585" i="36" s="1"/>
  <c r="C586" i="36" s="1"/>
  <c r="G525" i="25"/>
  <c r="I525" i="25"/>
  <c r="K525" i="25" s="1"/>
  <c r="L525" i="25" s="1"/>
  <c r="F526" i="25" s="1"/>
  <c r="D586" i="36" l="1"/>
  <c r="B586" i="36" s="1"/>
  <c r="E586" i="36"/>
  <c r="F586" i="36" s="1"/>
  <c r="G586" i="36" s="1"/>
  <c r="C587" i="36" s="1"/>
  <c r="G526" i="25"/>
  <c r="I526" i="25"/>
  <c r="K526" i="25" s="1"/>
  <c r="L526" i="25" s="1"/>
  <c r="F527" i="25" s="1"/>
  <c r="D587" i="36" l="1"/>
  <c r="B587" i="36" s="1"/>
  <c r="E587" i="36"/>
  <c r="F587" i="36" s="1"/>
  <c r="G587" i="36" s="1"/>
  <c r="C588" i="36" s="1"/>
  <c r="G527" i="25"/>
  <c r="I527" i="25"/>
  <c r="K527" i="25" s="1"/>
  <c r="L527" i="25" s="1"/>
  <c r="F528" i="25" s="1"/>
  <c r="D588" i="36" l="1"/>
  <c r="B588" i="36" s="1"/>
  <c r="E588" i="36"/>
  <c r="F588" i="36" s="1"/>
  <c r="G588" i="36" s="1"/>
  <c r="C589" i="36" s="1"/>
  <c r="G528" i="25"/>
  <c r="I528" i="25"/>
  <c r="K528" i="25" s="1"/>
  <c r="L528" i="25" s="1"/>
  <c r="F529" i="25" s="1"/>
  <c r="D589" i="36" l="1"/>
  <c r="B589" i="36" s="1"/>
  <c r="E589" i="36"/>
  <c r="F589" i="36" s="1"/>
  <c r="G589" i="36" s="1"/>
  <c r="C590" i="36" s="1"/>
  <c r="G529" i="25"/>
  <c r="I529" i="25"/>
  <c r="K529" i="25" s="1"/>
  <c r="L529" i="25" s="1"/>
  <c r="F530" i="25" s="1"/>
  <c r="D590" i="36" l="1"/>
  <c r="B590" i="36" s="1"/>
  <c r="E590" i="36"/>
  <c r="F590" i="36" s="1"/>
  <c r="G590" i="36" s="1"/>
  <c r="C591" i="36" s="1"/>
  <c r="G530" i="25"/>
  <c r="I530" i="25"/>
  <c r="K530" i="25" s="1"/>
  <c r="L530" i="25" s="1"/>
  <c r="F531" i="25" s="1"/>
  <c r="D591" i="36" l="1"/>
  <c r="B591" i="36" s="1"/>
  <c r="E591" i="36"/>
  <c r="F591" i="36" s="1"/>
  <c r="G591" i="36" s="1"/>
  <c r="C592" i="36" s="1"/>
  <c r="G531" i="25"/>
  <c r="I531" i="25"/>
  <c r="K531" i="25" s="1"/>
  <c r="L531" i="25" s="1"/>
  <c r="F532" i="25" s="1"/>
  <c r="D592" i="36" l="1"/>
  <c r="B592" i="36" s="1"/>
  <c r="E592" i="36"/>
  <c r="F592" i="36" s="1"/>
  <c r="G592" i="36" s="1"/>
  <c r="C593" i="36" s="1"/>
  <c r="G532" i="25"/>
  <c r="I532" i="25"/>
  <c r="K532" i="25" s="1"/>
  <c r="L532" i="25" s="1"/>
  <c r="F533" i="25" s="1"/>
  <c r="D593" i="36" l="1"/>
  <c r="B593" i="36" s="1"/>
  <c r="E593" i="36"/>
  <c r="F593" i="36" s="1"/>
  <c r="G593" i="36" s="1"/>
  <c r="C594" i="36" s="1"/>
  <c r="G533" i="25"/>
  <c r="I533" i="25"/>
  <c r="K533" i="25" s="1"/>
  <c r="L533" i="25" s="1"/>
  <c r="F534" i="25" s="1"/>
  <c r="D594" i="36" l="1"/>
  <c r="B594" i="36" s="1"/>
  <c r="E594" i="36"/>
  <c r="F594" i="36" s="1"/>
  <c r="G594" i="36" s="1"/>
  <c r="C595" i="36" s="1"/>
  <c r="G534" i="25"/>
  <c r="I534" i="25"/>
  <c r="K534" i="25" s="1"/>
  <c r="L534" i="25" s="1"/>
  <c r="F535" i="25" s="1"/>
  <c r="D595" i="36" l="1"/>
  <c r="B595" i="36" s="1"/>
  <c r="E595" i="36"/>
  <c r="F595" i="36" s="1"/>
  <c r="G595" i="36" s="1"/>
  <c r="C596" i="36" s="1"/>
  <c r="G535" i="25"/>
  <c r="I535" i="25"/>
  <c r="K535" i="25" s="1"/>
  <c r="L535" i="25" s="1"/>
  <c r="F536" i="25" s="1"/>
  <c r="D596" i="36" l="1"/>
  <c r="B596" i="36" s="1"/>
  <c r="E596" i="36"/>
  <c r="F596" i="36" s="1"/>
  <c r="G596" i="36" s="1"/>
  <c r="C597" i="36" s="1"/>
  <c r="G536" i="25"/>
  <c r="I536" i="25"/>
  <c r="K536" i="25" s="1"/>
  <c r="L536" i="25" s="1"/>
  <c r="F537" i="25" s="1"/>
  <c r="D597" i="36" l="1"/>
  <c r="B597" i="36" s="1"/>
  <c r="E597" i="36"/>
  <c r="F597" i="36" s="1"/>
  <c r="G597" i="36" s="1"/>
  <c r="C598" i="36" s="1"/>
  <c r="G537" i="25"/>
  <c r="I537" i="25"/>
  <c r="K537" i="25" s="1"/>
  <c r="L537" i="25" s="1"/>
  <c r="F538" i="25" s="1"/>
  <c r="D598" i="36" l="1"/>
  <c r="B598" i="36" s="1"/>
  <c r="E598" i="36"/>
  <c r="F598" i="36" s="1"/>
  <c r="G598" i="36" s="1"/>
  <c r="C599" i="36" s="1"/>
  <c r="G538" i="25"/>
  <c r="I538" i="25"/>
  <c r="K538" i="25" s="1"/>
  <c r="L538" i="25" s="1"/>
  <c r="F539" i="25" s="1"/>
  <c r="D599" i="36" l="1"/>
  <c r="B599" i="36" s="1"/>
  <c r="E599" i="36"/>
  <c r="F599" i="36" s="1"/>
  <c r="G599" i="36" s="1"/>
  <c r="C600" i="36" s="1"/>
  <c r="G539" i="25"/>
  <c r="I539" i="25"/>
  <c r="K539" i="25" s="1"/>
  <c r="L539" i="25" s="1"/>
  <c r="F540" i="25" s="1"/>
  <c r="D600" i="36" l="1"/>
  <c r="B600" i="36" s="1"/>
  <c r="E600" i="36"/>
  <c r="F600" i="36" s="1"/>
  <c r="G600" i="36" s="1"/>
  <c r="C601" i="36" s="1"/>
  <c r="G540" i="25"/>
  <c r="I540" i="25"/>
  <c r="K540" i="25" s="1"/>
  <c r="L540" i="25" s="1"/>
  <c r="F541" i="25" s="1"/>
  <c r="D601" i="36" l="1"/>
  <c r="B601" i="36" s="1"/>
  <c r="E601" i="36"/>
  <c r="F601" i="36" s="1"/>
  <c r="G601" i="36" s="1"/>
  <c r="C602" i="36" s="1"/>
  <c r="G541" i="25"/>
  <c r="I541" i="25"/>
  <c r="K541" i="25" s="1"/>
  <c r="L541" i="25" s="1"/>
  <c r="F542" i="25" s="1"/>
  <c r="D602" i="36" l="1"/>
  <c r="B602" i="36" s="1"/>
  <c r="E602" i="36"/>
  <c r="F602" i="36" s="1"/>
  <c r="G602" i="36" s="1"/>
  <c r="C603" i="36" s="1"/>
  <c r="G542" i="25"/>
  <c r="I542" i="25"/>
  <c r="K542" i="25" s="1"/>
  <c r="L542" i="25" s="1"/>
  <c r="F543" i="25" s="1"/>
  <c r="D603" i="36" l="1"/>
  <c r="B603" i="36" s="1"/>
  <c r="E603" i="36"/>
  <c r="F603" i="36" s="1"/>
  <c r="G603" i="36" s="1"/>
  <c r="C604" i="36" s="1"/>
  <c r="G543" i="25"/>
  <c r="I543" i="25"/>
  <c r="K543" i="25" s="1"/>
  <c r="L543" i="25" s="1"/>
  <c r="F544" i="25" s="1"/>
  <c r="D604" i="36" l="1"/>
  <c r="B604" i="36" s="1"/>
  <c r="E604" i="36"/>
  <c r="F604" i="36" s="1"/>
  <c r="G604" i="36" s="1"/>
  <c r="C605" i="36" s="1"/>
  <c r="G544" i="25"/>
  <c r="I544" i="25"/>
  <c r="K544" i="25" s="1"/>
  <c r="L544" i="25" s="1"/>
  <c r="F545" i="25" s="1"/>
  <c r="D605" i="36" l="1"/>
  <c r="B605" i="36" s="1"/>
  <c r="E605" i="36"/>
  <c r="F605" i="36" s="1"/>
  <c r="G605" i="36" s="1"/>
  <c r="C606" i="36" s="1"/>
  <c r="G545" i="25"/>
  <c r="I545" i="25"/>
  <c r="K545" i="25" s="1"/>
  <c r="L545" i="25" s="1"/>
  <c r="F546" i="25" s="1"/>
  <c r="D606" i="36" l="1"/>
  <c r="B606" i="36" s="1"/>
  <c r="E606" i="36"/>
  <c r="F606" i="36" s="1"/>
  <c r="G606" i="36" s="1"/>
  <c r="C607" i="36" s="1"/>
  <c r="G546" i="25"/>
  <c r="I546" i="25"/>
  <c r="K546" i="25" s="1"/>
  <c r="L546" i="25" s="1"/>
  <c r="F547" i="25" s="1"/>
  <c r="D607" i="36" l="1"/>
  <c r="B607" i="36" s="1"/>
  <c r="E607" i="36"/>
  <c r="F607" i="36" s="1"/>
  <c r="G607" i="36" s="1"/>
  <c r="C608" i="36" s="1"/>
  <c r="G547" i="25"/>
  <c r="I547" i="25"/>
  <c r="K547" i="25" s="1"/>
  <c r="L547" i="25" s="1"/>
  <c r="F548" i="25" s="1"/>
  <c r="D608" i="36" l="1"/>
  <c r="B608" i="36" s="1"/>
  <c r="E608" i="36"/>
  <c r="F608" i="36" s="1"/>
  <c r="G608" i="36" s="1"/>
  <c r="C609" i="36" s="1"/>
  <c r="G548" i="25"/>
  <c r="I548" i="25"/>
  <c r="K548" i="25" s="1"/>
  <c r="L548" i="25" s="1"/>
  <c r="F549" i="25" s="1"/>
  <c r="D609" i="36" l="1"/>
  <c r="B609" i="36" s="1"/>
  <c r="E609" i="36"/>
  <c r="F609" i="36" s="1"/>
  <c r="G609" i="36" s="1"/>
  <c r="C610" i="36" s="1"/>
  <c r="G549" i="25"/>
  <c r="I549" i="25"/>
  <c r="K549" i="25" s="1"/>
  <c r="L549" i="25" s="1"/>
  <c r="F550" i="25" s="1"/>
  <c r="D610" i="36" l="1"/>
  <c r="B610" i="36" s="1"/>
  <c r="E610" i="36"/>
  <c r="F610" i="36" s="1"/>
  <c r="G610" i="36" s="1"/>
  <c r="C611" i="36" s="1"/>
  <c r="G550" i="25"/>
  <c r="I550" i="25"/>
  <c r="K550" i="25" s="1"/>
  <c r="L550" i="25" s="1"/>
  <c r="F551" i="25" s="1"/>
  <c r="D611" i="36" l="1"/>
  <c r="B611" i="36" s="1"/>
  <c r="E611" i="36"/>
  <c r="F611" i="36" s="1"/>
  <c r="G611" i="36" s="1"/>
  <c r="C612" i="36" s="1"/>
  <c r="G551" i="25"/>
  <c r="I551" i="25"/>
  <c r="K551" i="25" s="1"/>
  <c r="L551" i="25" s="1"/>
  <c r="F552" i="25" s="1"/>
  <c r="D612" i="36" l="1"/>
  <c r="B612" i="36" s="1"/>
  <c r="E612" i="36"/>
  <c r="F612" i="36" s="1"/>
  <c r="G612" i="36" s="1"/>
  <c r="C613" i="36" s="1"/>
  <c r="G552" i="25"/>
  <c r="I552" i="25"/>
  <c r="K552" i="25" s="1"/>
  <c r="L552" i="25" s="1"/>
  <c r="F553" i="25" s="1"/>
  <c r="D613" i="36" l="1"/>
  <c r="B613" i="36" s="1"/>
  <c r="E613" i="36"/>
  <c r="F613" i="36" s="1"/>
  <c r="G613" i="36" s="1"/>
  <c r="C614" i="36" s="1"/>
  <c r="G553" i="25"/>
  <c r="I553" i="25"/>
  <c r="K553" i="25" s="1"/>
  <c r="L553" i="25" s="1"/>
  <c r="F554" i="25" s="1"/>
  <c r="D614" i="36" l="1"/>
  <c r="B614" i="36" s="1"/>
  <c r="E614" i="36"/>
  <c r="F614" i="36" s="1"/>
  <c r="G614" i="36" s="1"/>
  <c r="C615" i="36" s="1"/>
  <c r="G554" i="25"/>
  <c r="I554" i="25"/>
  <c r="K554" i="25" s="1"/>
  <c r="L554" i="25" s="1"/>
  <c r="F555" i="25" s="1"/>
  <c r="D615" i="36" l="1"/>
  <c r="B615" i="36" s="1"/>
  <c r="E615" i="36"/>
  <c r="F615" i="36" s="1"/>
  <c r="G615" i="36" s="1"/>
  <c r="C616" i="36" s="1"/>
  <c r="G555" i="25"/>
  <c r="I555" i="25"/>
  <c r="K555" i="25" s="1"/>
  <c r="L555" i="25" s="1"/>
  <c r="F556" i="25" s="1"/>
  <c r="D616" i="36" l="1"/>
  <c r="B616" i="36" s="1"/>
  <c r="E616" i="36"/>
  <c r="F616" i="36" s="1"/>
  <c r="G616" i="36" s="1"/>
  <c r="C617" i="36" s="1"/>
  <c r="G556" i="25"/>
  <c r="I556" i="25"/>
  <c r="K556" i="25" s="1"/>
  <c r="L556" i="25" s="1"/>
  <c r="F557" i="25" s="1"/>
  <c r="D617" i="36" l="1"/>
  <c r="B617" i="36" s="1"/>
  <c r="E617" i="36"/>
  <c r="F617" i="36" s="1"/>
  <c r="G617" i="36" s="1"/>
  <c r="C618" i="36" s="1"/>
  <c r="G557" i="25"/>
  <c r="I557" i="25"/>
  <c r="K557" i="25" s="1"/>
  <c r="L557" i="25" s="1"/>
  <c r="F558" i="25" s="1"/>
  <c r="D618" i="36" l="1"/>
  <c r="B618" i="36" s="1"/>
  <c r="E618" i="36"/>
  <c r="F618" i="36" s="1"/>
  <c r="G618" i="36" s="1"/>
  <c r="C619" i="36" s="1"/>
  <c r="G558" i="25"/>
  <c r="I558" i="25"/>
  <c r="K558" i="25" s="1"/>
  <c r="L558" i="25" s="1"/>
  <c r="F559" i="25" s="1"/>
  <c r="D619" i="36" l="1"/>
  <c r="B619" i="36" s="1"/>
  <c r="E619" i="36"/>
  <c r="F619" i="36" s="1"/>
  <c r="G619" i="36" s="1"/>
  <c r="C620" i="36" s="1"/>
  <c r="G559" i="25"/>
  <c r="I559" i="25"/>
  <c r="K559" i="25" s="1"/>
  <c r="L559" i="25" s="1"/>
  <c r="F560" i="25" s="1"/>
  <c r="D620" i="36" l="1"/>
  <c r="B620" i="36" s="1"/>
  <c r="E620" i="36"/>
  <c r="F620" i="36" s="1"/>
  <c r="G620" i="36" s="1"/>
  <c r="C621" i="36" s="1"/>
  <c r="G560" i="25"/>
  <c r="I560" i="25"/>
  <c r="K560" i="25" s="1"/>
  <c r="L560" i="25" s="1"/>
  <c r="F561" i="25" s="1"/>
  <c r="D621" i="36" l="1"/>
  <c r="B621" i="36" s="1"/>
  <c r="E621" i="36"/>
  <c r="F621" i="36" s="1"/>
  <c r="G621" i="36" s="1"/>
  <c r="C622" i="36" s="1"/>
  <c r="G561" i="25"/>
  <c r="I561" i="25"/>
  <c r="K561" i="25" s="1"/>
  <c r="L561" i="25" s="1"/>
  <c r="F562" i="25" s="1"/>
  <c r="D622" i="36" l="1"/>
  <c r="B622" i="36" s="1"/>
  <c r="E622" i="36"/>
  <c r="F622" i="36" s="1"/>
  <c r="G622" i="36" s="1"/>
  <c r="C623" i="36" s="1"/>
  <c r="G562" i="25"/>
  <c r="I562" i="25"/>
  <c r="K562" i="25" s="1"/>
  <c r="L562" i="25" s="1"/>
  <c r="F563" i="25" s="1"/>
  <c r="D623" i="36" l="1"/>
  <c r="B623" i="36" s="1"/>
  <c r="E623" i="36"/>
  <c r="F623" i="36" s="1"/>
  <c r="G623" i="36" s="1"/>
  <c r="C624" i="36" s="1"/>
  <c r="G563" i="25"/>
  <c r="I563" i="25"/>
  <c r="K563" i="25" s="1"/>
  <c r="L563" i="25" s="1"/>
  <c r="F564" i="25" s="1"/>
  <c r="D624" i="36" l="1"/>
  <c r="B624" i="36" s="1"/>
  <c r="E624" i="36"/>
  <c r="F624" i="36" s="1"/>
  <c r="G624" i="36" s="1"/>
  <c r="C625" i="36" s="1"/>
  <c r="G564" i="25"/>
  <c r="I564" i="25"/>
  <c r="K564" i="25" s="1"/>
  <c r="L564" i="25" s="1"/>
  <c r="F565" i="25" s="1"/>
  <c r="D625" i="36" l="1"/>
  <c r="B625" i="36" s="1"/>
  <c r="E625" i="36"/>
  <c r="F625" i="36" s="1"/>
  <c r="G625" i="36" s="1"/>
  <c r="C626" i="36" s="1"/>
  <c r="G565" i="25"/>
  <c r="I565" i="25"/>
  <c r="K565" i="25" s="1"/>
  <c r="L565" i="25" s="1"/>
  <c r="F566" i="25" s="1"/>
  <c r="D626" i="36" l="1"/>
  <c r="B626" i="36" s="1"/>
  <c r="E626" i="36"/>
  <c r="F626" i="36" s="1"/>
  <c r="G626" i="36" s="1"/>
  <c r="C627" i="36" s="1"/>
  <c r="G566" i="25"/>
  <c r="I566" i="25"/>
  <c r="K566" i="25" s="1"/>
  <c r="L566" i="25" s="1"/>
  <c r="F567" i="25" s="1"/>
  <c r="D627" i="36" l="1"/>
  <c r="B627" i="36" s="1"/>
  <c r="E627" i="36"/>
  <c r="F627" i="36" s="1"/>
  <c r="G627" i="36" s="1"/>
  <c r="C628" i="36" s="1"/>
  <c r="G567" i="25"/>
  <c r="I567" i="25"/>
  <c r="K567" i="25" s="1"/>
  <c r="L567" i="25" s="1"/>
  <c r="F568" i="25" s="1"/>
  <c r="D628" i="36" l="1"/>
  <c r="B628" i="36" s="1"/>
  <c r="E628" i="36"/>
  <c r="F628" i="36" s="1"/>
  <c r="G628" i="36" s="1"/>
  <c r="C629" i="36" s="1"/>
  <c r="G568" i="25"/>
  <c r="I568" i="25"/>
  <c r="K568" i="25" s="1"/>
  <c r="L568" i="25" s="1"/>
  <c r="F569" i="25" s="1"/>
  <c r="D629" i="36" l="1"/>
  <c r="B629" i="36" s="1"/>
  <c r="E629" i="36"/>
  <c r="F629" i="36" s="1"/>
  <c r="G629" i="36" s="1"/>
  <c r="C630" i="36" s="1"/>
  <c r="G569" i="25"/>
  <c r="I569" i="25"/>
  <c r="K569" i="25" s="1"/>
  <c r="L569" i="25" s="1"/>
  <c r="F570" i="25" s="1"/>
  <c r="D630" i="36" l="1"/>
  <c r="B630" i="36" s="1"/>
  <c r="E630" i="36"/>
  <c r="F630" i="36" s="1"/>
  <c r="G630" i="36" s="1"/>
  <c r="C631" i="36" s="1"/>
  <c r="G570" i="25"/>
  <c r="I570" i="25"/>
  <c r="K570" i="25" s="1"/>
  <c r="L570" i="25" s="1"/>
  <c r="F571" i="25" s="1"/>
  <c r="D631" i="36" l="1"/>
  <c r="B631" i="36" s="1"/>
  <c r="E631" i="36"/>
  <c r="F631" i="36" s="1"/>
  <c r="G631" i="36" s="1"/>
  <c r="C632" i="36" s="1"/>
  <c r="G571" i="25"/>
  <c r="I571" i="25"/>
  <c r="K571" i="25" s="1"/>
  <c r="L571" i="25" s="1"/>
  <c r="F572" i="25" s="1"/>
  <c r="D632" i="36" l="1"/>
  <c r="B632" i="36" s="1"/>
  <c r="E632" i="36"/>
  <c r="F632" i="36" s="1"/>
  <c r="G632" i="36" s="1"/>
  <c r="C633" i="36" s="1"/>
  <c r="G572" i="25"/>
  <c r="I572" i="25"/>
  <c r="K572" i="25" s="1"/>
  <c r="L572" i="25" s="1"/>
  <c r="F573" i="25" s="1"/>
  <c r="D633" i="36" l="1"/>
  <c r="B633" i="36" s="1"/>
  <c r="E633" i="36"/>
  <c r="F633" i="36" s="1"/>
  <c r="G633" i="36" s="1"/>
  <c r="C634" i="36" s="1"/>
  <c r="G573" i="25"/>
  <c r="I573" i="25"/>
  <c r="K573" i="25" s="1"/>
  <c r="L573" i="25" s="1"/>
  <c r="F574" i="25" s="1"/>
  <c r="D634" i="36" l="1"/>
  <c r="B634" i="36" s="1"/>
  <c r="E634" i="36"/>
  <c r="F634" i="36" s="1"/>
  <c r="G634" i="36" s="1"/>
  <c r="C635" i="36" s="1"/>
  <c r="G574" i="25"/>
  <c r="I574" i="25"/>
  <c r="K574" i="25" s="1"/>
  <c r="L574" i="25" s="1"/>
  <c r="F575" i="25" s="1"/>
  <c r="D635" i="36" l="1"/>
  <c r="B635" i="36" s="1"/>
  <c r="E635" i="36"/>
  <c r="F635" i="36" s="1"/>
  <c r="G635" i="36" s="1"/>
  <c r="C636" i="36" s="1"/>
  <c r="G575" i="25"/>
  <c r="I575" i="25"/>
  <c r="K575" i="25" s="1"/>
  <c r="L575" i="25" s="1"/>
  <c r="F576" i="25" s="1"/>
  <c r="D636" i="36" l="1"/>
  <c r="B636" i="36" s="1"/>
  <c r="E636" i="36"/>
  <c r="F636" i="36" s="1"/>
  <c r="G636" i="36" s="1"/>
  <c r="C637" i="36" s="1"/>
  <c r="G576" i="25"/>
  <c r="I576" i="25"/>
  <c r="K576" i="25" s="1"/>
  <c r="L576" i="25" s="1"/>
  <c r="F577" i="25" s="1"/>
  <c r="D637" i="36" l="1"/>
  <c r="B637" i="36" s="1"/>
  <c r="E637" i="36"/>
  <c r="F637" i="36" s="1"/>
  <c r="G637" i="36" s="1"/>
  <c r="C638" i="36" s="1"/>
  <c r="G577" i="25"/>
  <c r="I577" i="25"/>
  <c r="K577" i="25" s="1"/>
  <c r="L577" i="25" s="1"/>
  <c r="F578" i="25" s="1"/>
  <c r="D638" i="36" l="1"/>
  <c r="B638" i="36" s="1"/>
  <c r="E638" i="36"/>
  <c r="F638" i="36" s="1"/>
  <c r="G638" i="36" s="1"/>
  <c r="C639" i="36" s="1"/>
  <c r="G578" i="25"/>
  <c r="I578" i="25"/>
  <c r="K578" i="25" s="1"/>
  <c r="L578" i="25" s="1"/>
  <c r="F579" i="25" s="1"/>
  <c r="D639" i="36" l="1"/>
  <c r="B639" i="36" s="1"/>
  <c r="E639" i="36"/>
  <c r="F639" i="36" s="1"/>
  <c r="G639" i="36" s="1"/>
  <c r="C640" i="36" s="1"/>
  <c r="G579" i="25"/>
  <c r="I579" i="25"/>
  <c r="K579" i="25" s="1"/>
  <c r="L579" i="25" s="1"/>
  <c r="F580" i="25" s="1"/>
  <c r="D640" i="36" l="1"/>
  <c r="B640" i="36" s="1"/>
  <c r="E640" i="36"/>
  <c r="F640" i="36" s="1"/>
  <c r="G640" i="36" s="1"/>
  <c r="C641" i="36" s="1"/>
  <c r="G580" i="25"/>
  <c r="I580" i="25"/>
  <c r="K580" i="25" s="1"/>
  <c r="L580" i="25" s="1"/>
  <c r="F581" i="25" s="1"/>
  <c r="D641" i="36" l="1"/>
  <c r="B641" i="36" s="1"/>
  <c r="E641" i="36"/>
  <c r="F641" i="36" s="1"/>
  <c r="G641" i="36" s="1"/>
  <c r="C642" i="36" s="1"/>
  <c r="G581" i="25"/>
  <c r="I581" i="25"/>
  <c r="K581" i="25" s="1"/>
  <c r="L581" i="25" s="1"/>
  <c r="F582" i="25" s="1"/>
  <c r="D642" i="36" l="1"/>
  <c r="B642" i="36" s="1"/>
  <c r="E642" i="36"/>
  <c r="F642" i="36" s="1"/>
  <c r="G642" i="36" s="1"/>
  <c r="C643" i="36" s="1"/>
  <c r="G582" i="25"/>
  <c r="I582" i="25"/>
  <c r="K582" i="25" s="1"/>
  <c r="L582" i="25" s="1"/>
  <c r="F583" i="25" s="1"/>
  <c r="D643" i="36" l="1"/>
  <c r="B643" i="36" s="1"/>
  <c r="E643" i="36"/>
  <c r="F643" i="36" s="1"/>
  <c r="G643" i="36" s="1"/>
  <c r="C644" i="36" s="1"/>
  <c r="G583" i="25"/>
  <c r="I583" i="25"/>
  <c r="K583" i="25" s="1"/>
  <c r="L583" i="25" s="1"/>
  <c r="F584" i="25" s="1"/>
  <c r="D644" i="36" l="1"/>
  <c r="B644" i="36" s="1"/>
  <c r="E644" i="36"/>
  <c r="F644" i="36" s="1"/>
  <c r="G644" i="36" s="1"/>
  <c r="C645" i="36" s="1"/>
  <c r="G584" i="25"/>
  <c r="I584" i="25"/>
  <c r="K584" i="25" s="1"/>
  <c r="L584" i="25" s="1"/>
  <c r="F585" i="25" s="1"/>
  <c r="D645" i="36" l="1"/>
  <c r="B645" i="36" s="1"/>
  <c r="E645" i="36"/>
  <c r="F645" i="36" s="1"/>
  <c r="G645" i="36" s="1"/>
  <c r="C646" i="36" s="1"/>
  <c r="G585" i="25"/>
  <c r="I585" i="25"/>
  <c r="K585" i="25" s="1"/>
  <c r="L585" i="25" s="1"/>
  <c r="F586" i="25" s="1"/>
  <c r="D646" i="36" l="1"/>
  <c r="B646" i="36" s="1"/>
  <c r="E646" i="36"/>
  <c r="F646" i="36" s="1"/>
  <c r="G646" i="36" s="1"/>
  <c r="C647" i="36" s="1"/>
  <c r="G586" i="25"/>
  <c r="I586" i="25"/>
  <c r="K586" i="25" s="1"/>
  <c r="L586" i="25" s="1"/>
  <c r="F587" i="25" s="1"/>
  <c r="D647" i="36" l="1"/>
  <c r="B647" i="36" s="1"/>
  <c r="E647" i="36"/>
  <c r="F647" i="36" s="1"/>
  <c r="G647" i="36" s="1"/>
  <c r="C648" i="36" s="1"/>
  <c r="G587" i="25"/>
  <c r="I587" i="25"/>
  <c r="K587" i="25" s="1"/>
  <c r="L587" i="25" s="1"/>
  <c r="F588" i="25" s="1"/>
  <c r="D648" i="36" l="1"/>
  <c r="B648" i="36" s="1"/>
  <c r="E648" i="36"/>
  <c r="F648" i="36" s="1"/>
  <c r="G648" i="36" s="1"/>
  <c r="C649" i="36" s="1"/>
  <c r="G588" i="25"/>
  <c r="I588" i="25"/>
  <c r="K588" i="25" s="1"/>
  <c r="L588" i="25" s="1"/>
  <c r="F589" i="25" s="1"/>
  <c r="D649" i="36" l="1"/>
  <c r="B649" i="36" s="1"/>
  <c r="E649" i="36"/>
  <c r="F649" i="36" s="1"/>
  <c r="G649" i="36" s="1"/>
  <c r="C650" i="36" s="1"/>
  <c r="G589" i="25"/>
  <c r="I589" i="25"/>
  <c r="K589" i="25" s="1"/>
  <c r="L589" i="25" s="1"/>
  <c r="F590" i="25" s="1"/>
  <c r="D650" i="36" l="1"/>
  <c r="B650" i="36" s="1"/>
  <c r="E650" i="36"/>
  <c r="F650" i="36" s="1"/>
  <c r="G650" i="36" s="1"/>
  <c r="C651" i="36" s="1"/>
  <c r="G590" i="25"/>
  <c r="I590" i="25"/>
  <c r="K590" i="25" s="1"/>
  <c r="L590" i="25" s="1"/>
  <c r="F591" i="25" s="1"/>
  <c r="D651" i="36" l="1"/>
  <c r="B651" i="36" s="1"/>
  <c r="E651" i="36"/>
  <c r="F651" i="36" s="1"/>
  <c r="G651" i="36" s="1"/>
  <c r="C652" i="36" s="1"/>
  <c r="G591" i="25"/>
  <c r="I591" i="25"/>
  <c r="K591" i="25" s="1"/>
  <c r="L591" i="25" s="1"/>
  <c r="F592" i="25" s="1"/>
  <c r="D652" i="36" l="1"/>
  <c r="B652" i="36" s="1"/>
  <c r="E652" i="36"/>
  <c r="F652" i="36" s="1"/>
  <c r="G652" i="36" s="1"/>
  <c r="C653" i="36" s="1"/>
  <c r="G592" i="25"/>
  <c r="I592" i="25"/>
  <c r="K592" i="25" s="1"/>
  <c r="L592" i="25" s="1"/>
  <c r="F593" i="25" s="1"/>
  <c r="D653" i="36" l="1"/>
  <c r="B653" i="36" s="1"/>
  <c r="E653" i="36"/>
  <c r="F653" i="36" s="1"/>
  <c r="G653" i="36" s="1"/>
  <c r="C654" i="36" s="1"/>
  <c r="G593" i="25"/>
  <c r="I593" i="25"/>
  <c r="K593" i="25" s="1"/>
  <c r="L593" i="25" s="1"/>
  <c r="F594" i="25" s="1"/>
  <c r="D654" i="36" l="1"/>
  <c r="B654" i="36" s="1"/>
  <c r="E654" i="36"/>
  <c r="F654" i="36" s="1"/>
  <c r="G654" i="36" s="1"/>
  <c r="C655" i="36" s="1"/>
  <c r="G594" i="25"/>
  <c r="I594" i="25"/>
  <c r="K594" i="25" s="1"/>
  <c r="L594" i="25" s="1"/>
  <c r="F595" i="25" s="1"/>
  <c r="D655" i="36" l="1"/>
  <c r="B655" i="36" s="1"/>
  <c r="E655" i="36"/>
  <c r="F655" i="36" s="1"/>
  <c r="G655" i="36" s="1"/>
  <c r="C656" i="36" s="1"/>
  <c r="G595" i="25"/>
  <c r="I595" i="25"/>
  <c r="K595" i="25" s="1"/>
  <c r="L595" i="25" s="1"/>
  <c r="F596" i="25" s="1"/>
  <c r="D656" i="36" l="1"/>
  <c r="B656" i="36" s="1"/>
  <c r="E656" i="36"/>
  <c r="F656" i="36" s="1"/>
  <c r="G656" i="36" s="1"/>
  <c r="C657" i="36" s="1"/>
  <c r="G596" i="25"/>
  <c r="I596" i="25"/>
  <c r="K596" i="25" s="1"/>
  <c r="L596" i="25" s="1"/>
  <c r="F597" i="25" s="1"/>
  <c r="D657" i="36" l="1"/>
  <c r="B657" i="36" s="1"/>
  <c r="E657" i="36"/>
  <c r="F657" i="36" s="1"/>
  <c r="G657" i="36" s="1"/>
  <c r="C658" i="36" s="1"/>
  <c r="G597" i="25"/>
  <c r="I597" i="25"/>
  <c r="K597" i="25" s="1"/>
  <c r="L597" i="25" s="1"/>
  <c r="F598" i="25" s="1"/>
  <c r="D658" i="36" l="1"/>
  <c r="B658" i="36" s="1"/>
  <c r="E658" i="36"/>
  <c r="F658" i="36" s="1"/>
  <c r="G658" i="36" s="1"/>
  <c r="C659" i="36" s="1"/>
  <c r="G598" i="25"/>
  <c r="I598" i="25"/>
  <c r="K598" i="25" s="1"/>
  <c r="L598" i="25" s="1"/>
  <c r="F599" i="25" s="1"/>
  <c r="D659" i="36" l="1"/>
  <c r="B659" i="36" s="1"/>
  <c r="E659" i="36"/>
  <c r="F659" i="36" s="1"/>
  <c r="G659" i="36" s="1"/>
  <c r="C660" i="36" s="1"/>
  <c r="G599" i="25"/>
  <c r="I599" i="25"/>
  <c r="K599" i="25" s="1"/>
  <c r="L599" i="25" s="1"/>
  <c r="F600" i="25" s="1"/>
  <c r="D660" i="36" l="1"/>
  <c r="B660" i="36" s="1"/>
  <c r="E660" i="36"/>
  <c r="F660" i="36" s="1"/>
  <c r="G660" i="36" s="1"/>
  <c r="C661" i="36" s="1"/>
  <c r="G600" i="25"/>
  <c r="I600" i="25"/>
  <c r="K600" i="25" s="1"/>
  <c r="L600" i="25" s="1"/>
  <c r="F601" i="25" s="1"/>
  <c r="D661" i="36" l="1"/>
  <c r="B661" i="36" s="1"/>
  <c r="E661" i="36"/>
  <c r="F661" i="36" s="1"/>
  <c r="G661" i="36" s="1"/>
  <c r="C662" i="36" s="1"/>
  <c r="G601" i="25"/>
  <c r="I601" i="25"/>
  <c r="K601" i="25" s="1"/>
  <c r="L601" i="25" s="1"/>
  <c r="F602" i="25" s="1"/>
  <c r="D662" i="36" l="1"/>
  <c r="B662" i="36" s="1"/>
  <c r="E662" i="36"/>
  <c r="F662" i="36" s="1"/>
  <c r="G662" i="36" s="1"/>
  <c r="C663" i="36" s="1"/>
  <c r="G602" i="25"/>
  <c r="I602" i="25"/>
  <c r="K602" i="25" s="1"/>
  <c r="L602" i="25" s="1"/>
  <c r="F603" i="25" s="1"/>
  <c r="D663" i="36" l="1"/>
  <c r="B663" i="36" s="1"/>
  <c r="E663" i="36"/>
  <c r="F663" i="36" s="1"/>
  <c r="G663" i="36" s="1"/>
  <c r="C664" i="36" s="1"/>
  <c r="G603" i="25"/>
  <c r="I603" i="25"/>
  <c r="K603" i="25" s="1"/>
  <c r="L603" i="25" s="1"/>
  <c r="F604" i="25" s="1"/>
  <c r="D664" i="36" l="1"/>
  <c r="B664" i="36" s="1"/>
  <c r="E664" i="36"/>
  <c r="F664" i="36" s="1"/>
  <c r="G664" i="36" s="1"/>
  <c r="C665" i="36" s="1"/>
  <c r="G604" i="25"/>
  <c r="I604" i="25"/>
  <c r="K604" i="25" s="1"/>
  <c r="L604" i="25" s="1"/>
  <c r="F605" i="25" s="1"/>
  <c r="D665" i="36" l="1"/>
  <c r="B665" i="36" s="1"/>
  <c r="E665" i="36"/>
  <c r="F665" i="36" s="1"/>
  <c r="G665" i="36" s="1"/>
  <c r="C666" i="36" s="1"/>
  <c r="G605" i="25"/>
  <c r="I605" i="25"/>
  <c r="K605" i="25" s="1"/>
  <c r="L605" i="25" s="1"/>
  <c r="F606" i="25" s="1"/>
  <c r="D666" i="36" l="1"/>
  <c r="B666" i="36" s="1"/>
  <c r="E666" i="36"/>
  <c r="F666" i="36" s="1"/>
  <c r="G666" i="36" s="1"/>
  <c r="C667" i="36" s="1"/>
  <c r="G606" i="25"/>
  <c r="I606" i="25"/>
  <c r="K606" i="25" s="1"/>
  <c r="L606" i="25" s="1"/>
  <c r="F607" i="25" s="1"/>
  <c r="D667" i="36" l="1"/>
  <c r="B667" i="36" s="1"/>
  <c r="E667" i="36"/>
  <c r="F667" i="36" s="1"/>
  <c r="G667" i="36" s="1"/>
  <c r="C668" i="36" s="1"/>
  <c r="G607" i="25"/>
  <c r="I607" i="25"/>
  <c r="K607" i="25" s="1"/>
  <c r="L607" i="25" s="1"/>
  <c r="F608" i="25" s="1"/>
  <c r="E668" i="36" l="1"/>
  <c r="F668" i="36" s="1"/>
  <c r="G668" i="36" s="1"/>
  <c r="C669" i="36" s="1"/>
  <c r="D668" i="36"/>
  <c r="B668" i="36" s="1"/>
  <c r="G608" i="25"/>
  <c r="I608" i="25"/>
  <c r="K608" i="25" s="1"/>
  <c r="L608" i="25" s="1"/>
  <c r="F609" i="25" s="1"/>
  <c r="E669" i="36" l="1"/>
  <c r="F669" i="36" s="1"/>
  <c r="G669" i="36" s="1"/>
  <c r="C670" i="36" s="1"/>
  <c r="D669" i="36"/>
  <c r="B669" i="36" s="1"/>
  <c r="G609" i="25"/>
  <c r="I609" i="25"/>
  <c r="K609" i="25" s="1"/>
  <c r="L609" i="25" s="1"/>
  <c r="F610" i="25" s="1"/>
  <c r="E670" i="36" l="1"/>
  <c r="F670" i="36" s="1"/>
  <c r="G670" i="36" s="1"/>
  <c r="C671" i="36" s="1"/>
  <c r="D670" i="36"/>
  <c r="B670" i="36" s="1"/>
  <c r="G610" i="25"/>
  <c r="I610" i="25"/>
  <c r="K610" i="25" s="1"/>
  <c r="L610" i="25" s="1"/>
  <c r="F611" i="25" s="1"/>
  <c r="D671" i="36" l="1"/>
  <c r="B671" i="36" s="1"/>
  <c r="E671" i="36"/>
  <c r="F671" i="36" s="1"/>
  <c r="G671" i="36" s="1"/>
  <c r="C672" i="36" s="1"/>
  <c r="G611" i="25"/>
  <c r="I611" i="25"/>
  <c r="K611" i="25" s="1"/>
  <c r="L611" i="25" s="1"/>
  <c r="F612" i="25" s="1"/>
  <c r="D672" i="36" l="1"/>
  <c r="B672" i="36" s="1"/>
  <c r="E672" i="36"/>
  <c r="F672" i="36" s="1"/>
  <c r="G672" i="36" s="1"/>
  <c r="C673" i="36" s="1"/>
  <c r="G612" i="25"/>
  <c r="I612" i="25"/>
  <c r="K612" i="25" s="1"/>
  <c r="L612" i="25" s="1"/>
  <c r="F613" i="25" s="1"/>
  <c r="D673" i="36" l="1"/>
  <c r="B673" i="36" s="1"/>
  <c r="E673" i="36"/>
  <c r="F673" i="36" s="1"/>
  <c r="G673" i="36" s="1"/>
  <c r="C674" i="36" s="1"/>
  <c r="G613" i="25"/>
  <c r="I613" i="25"/>
  <c r="K613" i="25" s="1"/>
  <c r="L613" i="25" s="1"/>
  <c r="F614" i="25" s="1"/>
  <c r="D674" i="36" l="1"/>
  <c r="B674" i="36" s="1"/>
  <c r="E674" i="36"/>
  <c r="F674" i="36" s="1"/>
  <c r="G674" i="36" s="1"/>
  <c r="C675" i="36" s="1"/>
  <c r="G614" i="25"/>
  <c r="I614" i="25"/>
  <c r="K614" i="25" s="1"/>
  <c r="L614" i="25" s="1"/>
  <c r="F615" i="25" s="1"/>
  <c r="D675" i="36" l="1"/>
  <c r="B675" i="36" s="1"/>
  <c r="E675" i="36"/>
  <c r="F675" i="36" s="1"/>
  <c r="G675" i="36" s="1"/>
  <c r="C676" i="36" s="1"/>
  <c r="G615" i="25"/>
  <c r="I615" i="25"/>
  <c r="K615" i="25" s="1"/>
  <c r="L615" i="25" s="1"/>
  <c r="F616" i="25" s="1"/>
  <c r="D676" i="36" l="1"/>
  <c r="B676" i="36" s="1"/>
  <c r="E676" i="36"/>
  <c r="F676" i="36" s="1"/>
  <c r="G676" i="36" s="1"/>
  <c r="C677" i="36" s="1"/>
  <c r="G616" i="25"/>
  <c r="I616" i="25"/>
  <c r="K616" i="25" s="1"/>
  <c r="L616" i="25" s="1"/>
  <c r="F617" i="25" s="1"/>
  <c r="D677" i="36" l="1"/>
  <c r="B677" i="36" s="1"/>
  <c r="E677" i="36"/>
  <c r="F677" i="36" s="1"/>
  <c r="G677" i="36" s="1"/>
  <c r="C678" i="36" s="1"/>
  <c r="G617" i="25"/>
  <c r="I617" i="25"/>
  <c r="K617" i="25" s="1"/>
  <c r="L617" i="25" s="1"/>
  <c r="F618" i="25" s="1"/>
  <c r="D678" i="36" l="1"/>
  <c r="B678" i="36" s="1"/>
  <c r="E678" i="36"/>
  <c r="F678" i="36" s="1"/>
  <c r="G678" i="36" s="1"/>
  <c r="C679" i="36" s="1"/>
  <c r="G618" i="25"/>
  <c r="I618" i="25"/>
  <c r="K618" i="25" s="1"/>
  <c r="L618" i="25" s="1"/>
  <c r="F619" i="25" s="1"/>
  <c r="D679" i="36" l="1"/>
  <c r="B679" i="36" s="1"/>
  <c r="E679" i="36"/>
  <c r="F679" i="36" s="1"/>
  <c r="G679" i="36" s="1"/>
  <c r="C680" i="36" s="1"/>
  <c r="G619" i="25"/>
  <c r="I619" i="25"/>
  <c r="K619" i="25" s="1"/>
  <c r="L619" i="25" s="1"/>
  <c r="F620" i="25" s="1"/>
  <c r="D680" i="36" l="1"/>
  <c r="B680" i="36" s="1"/>
  <c r="E680" i="36"/>
  <c r="F680" i="36" s="1"/>
  <c r="G680" i="36" s="1"/>
  <c r="C681" i="36" s="1"/>
  <c r="G620" i="25"/>
  <c r="I620" i="25"/>
  <c r="K620" i="25" s="1"/>
  <c r="L620" i="25" s="1"/>
  <c r="F621" i="25" s="1"/>
  <c r="D681" i="36" l="1"/>
  <c r="B681" i="36" s="1"/>
  <c r="E681" i="36"/>
  <c r="F681" i="36" s="1"/>
  <c r="G681" i="36" s="1"/>
  <c r="C682" i="36" s="1"/>
  <c r="G621" i="25"/>
  <c r="I621" i="25"/>
  <c r="K621" i="25" s="1"/>
  <c r="L621" i="25" s="1"/>
  <c r="F622" i="25" s="1"/>
  <c r="D682" i="36" l="1"/>
  <c r="B682" i="36" s="1"/>
  <c r="E682" i="36"/>
  <c r="F682" i="36" s="1"/>
  <c r="G682" i="36" s="1"/>
  <c r="C683" i="36" s="1"/>
  <c r="G622" i="25"/>
  <c r="I622" i="25"/>
  <c r="K622" i="25" s="1"/>
  <c r="L622" i="25" s="1"/>
  <c r="F623" i="25" s="1"/>
  <c r="D683" i="36" l="1"/>
  <c r="B683" i="36" s="1"/>
  <c r="E683" i="36"/>
  <c r="F683" i="36" s="1"/>
  <c r="G683" i="36" s="1"/>
  <c r="C684" i="36" s="1"/>
  <c r="G623" i="25"/>
  <c r="I623" i="25"/>
  <c r="K623" i="25" s="1"/>
  <c r="L623" i="25" s="1"/>
  <c r="F624" i="25" s="1"/>
  <c r="D684" i="36" l="1"/>
  <c r="B684" i="36" s="1"/>
  <c r="E684" i="36"/>
  <c r="F684" i="36" s="1"/>
  <c r="G684" i="36" s="1"/>
  <c r="C685" i="36" s="1"/>
  <c r="G624" i="25"/>
  <c r="I624" i="25"/>
  <c r="K624" i="25" s="1"/>
  <c r="L624" i="25" s="1"/>
  <c r="F625" i="25" s="1"/>
  <c r="D685" i="36" l="1"/>
  <c r="B685" i="36" s="1"/>
  <c r="E685" i="36"/>
  <c r="F685" i="36" s="1"/>
  <c r="G685" i="36" s="1"/>
  <c r="C686" i="36" s="1"/>
  <c r="G625" i="25"/>
  <c r="I625" i="25"/>
  <c r="K625" i="25" s="1"/>
  <c r="L625" i="25" s="1"/>
  <c r="F626" i="25" s="1"/>
  <c r="D686" i="36" l="1"/>
  <c r="B686" i="36" s="1"/>
  <c r="E686" i="36"/>
  <c r="F686" i="36" s="1"/>
  <c r="G686" i="36" s="1"/>
  <c r="C687" i="36" s="1"/>
  <c r="G626" i="25"/>
  <c r="I626" i="25"/>
  <c r="K626" i="25" s="1"/>
  <c r="L626" i="25" s="1"/>
  <c r="F627" i="25" s="1"/>
  <c r="D687" i="36" l="1"/>
  <c r="B687" i="36" s="1"/>
  <c r="E687" i="36"/>
  <c r="F687" i="36" s="1"/>
  <c r="G687" i="36" s="1"/>
  <c r="C688" i="36" s="1"/>
  <c r="G627" i="25"/>
  <c r="I627" i="25"/>
  <c r="K627" i="25" s="1"/>
  <c r="L627" i="25" s="1"/>
  <c r="F628" i="25" s="1"/>
  <c r="D688" i="36" l="1"/>
  <c r="B688" i="36" s="1"/>
  <c r="E688" i="36"/>
  <c r="F688" i="36" s="1"/>
  <c r="G688" i="36" s="1"/>
  <c r="C689" i="36" s="1"/>
  <c r="G628" i="25"/>
  <c r="I628" i="25"/>
  <c r="K628" i="25" s="1"/>
  <c r="L628" i="25" s="1"/>
  <c r="F629" i="25" s="1"/>
  <c r="D689" i="36" l="1"/>
  <c r="B689" i="36" s="1"/>
  <c r="E689" i="36"/>
  <c r="F689" i="36" s="1"/>
  <c r="G689" i="36" s="1"/>
  <c r="C690" i="36" s="1"/>
  <c r="G629" i="25"/>
  <c r="I629" i="25"/>
  <c r="K629" i="25" s="1"/>
  <c r="L629" i="25" s="1"/>
  <c r="F630" i="25" s="1"/>
  <c r="D690" i="36" l="1"/>
  <c r="B690" i="36" s="1"/>
  <c r="E690" i="36"/>
  <c r="F690" i="36" s="1"/>
  <c r="G690" i="36" s="1"/>
  <c r="C691" i="36" s="1"/>
  <c r="G630" i="25"/>
  <c r="I630" i="25"/>
  <c r="K630" i="25" s="1"/>
  <c r="L630" i="25" s="1"/>
  <c r="F631" i="25" s="1"/>
  <c r="D691" i="36" l="1"/>
  <c r="E691" i="36"/>
  <c r="F691" i="36" s="1"/>
  <c r="G691" i="36" s="1"/>
  <c r="C692" i="36" s="1"/>
  <c r="G631" i="25"/>
  <c r="I631" i="25"/>
  <c r="K631" i="25" s="1"/>
  <c r="L631" i="25" s="1"/>
  <c r="F632" i="25" s="1"/>
  <c r="B691" i="36" l="1"/>
  <c r="D692" i="36"/>
  <c r="B692" i="36" s="1"/>
  <c r="E692" i="36"/>
  <c r="F692" i="36" s="1"/>
  <c r="G692" i="36" s="1"/>
  <c r="C693" i="36" s="1"/>
  <c r="G632" i="25"/>
  <c r="I632" i="25"/>
  <c r="K632" i="25" s="1"/>
  <c r="L632" i="25" s="1"/>
  <c r="F633" i="25" s="1"/>
  <c r="D693" i="36" l="1"/>
  <c r="B693" i="36" s="1"/>
  <c r="E693" i="36"/>
  <c r="F693" i="36" s="1"/>
  <c r="G693" i="36" s="1"/>
  <c r="C694" i="36" s="1"/>
  <c r="G633" i="25"/>
  <c r="I633" i="25"/>
  <c r="K633" i="25" s="1"/>
  <c r="L633" i="25" s="1"/>
  <c r="F634" i="25" s="1"/>
  <c r="D694" i="36" l="1"/>
  <c r="B694" i="36" s="1"/>
  <c r="E694" i="36"/>
  <c r="F694" i="36" s="1"/>
  <c r="G694" i="36" s="1"/>
  <c r="C695" i="36" s="1"/>
  <c r="G634" i="25"/>
  <c r="I634" i="25"/>
  <c r="K634" i="25" s="1"/>
  <c r="L634" i="25" s="1"/>
  <c r="F635" i="25" s="1"/>
  <c r="D695" i="36" l="1"/>
  <c r="B695" i="36" s="1"/>
  <c r="E695" i="36"/>
  <c r="F695" i="36" s="1"/>
  <c r="G695" i="36" s="1"/>
  <c r="C696" i="36" s="1"/>
  <c r="G635" i="25"/>
  <c r="I635" i="25"/>
  <c r="K635" i="25" s="1"/>
  <c r="L635" i="25" s="1"/>
  <c r="F636" i="25" s="1"/>
  <c r="D696" i="36" l="1"/>
  <c r="B696" i="36" s="1"/>
  <c r="E696" i="36"/>
  <c r="F696" i="36" s="1"/>
  <c r="G696" i="36" s="1"/>
  <c r="C697" i="36" s="1"/>
  <c r="G636" i="25"/>
  <c r="I636" i="25"/>
  <c r="K636" i="25" s="1"/>
  <c r="L636" i="25" s="1"/>
  <c r="F637" i="25" s="1"/>
  <c r="D697" i="36" l="1"/>
  <c r="B697" i="36" s="1"/>
  <c r="E697" i="36"/>
  <c r="F697" i="36" s="1"/>
  <c r="G697" i="36" s="1"/>
  <c r="C698" i="36" s="1"/>
  <c r="G637" i="25"/>
  <c r="I637" i="25"/>
  <c r="K637" i="25" s="1"/>
  <c r="L637" i="25" s="1"/>
  <c r="F638" i="25" s="1"/>
  <c r="D698" i="36" l="1"/>
  <c r="B698" i="36" s="1"/>
  <c r="E698" i="36"/>
  <c r="F698" i="36" s="1"/>
  <c r="G698" i="36" s="1"/>
  <c r="C699" i="36" s="1"/>
  <c r="G638" i="25"/>
  <c r="I638" i="25"/>
  <c r="K638" i="25" s="1"/>
  <c r="L638" i="25" s="1"/>
  <c r="F639" i="25" s="1"/>
  <c r="D699" i="36" l="1"/>
  <c r="B699" i="36" s="1"/>
  <c r="E699" i="36"/>
  <c r="F699" i="36" s="1"/>
  <c r="G699" i="36" s="1"/>
  <c r="C700" i="36" s="1"/>
  <c r="G639" i="25"/>
  <c r="I639" i="25"/>
  <c r="K639" i="25" s="1"/>
  <c r="L639" i="25" s="1"/>
  <c r="F640" i="25" s="1"/>
  <c r="D700" i="36" l="1"/>
  <c r="B700" i="36" s="1"/>
  <c r="E700" i="36"/>
  <c r="F700" i="36" s="1"/>
  <c r="G700" i="36" s="1"/>
  <c r="C701" i="36" s="1"/>
  <c r="G640" i="25"/>
  <c r="I640" i="25"/>
  <c r="K640" i="25" s="1"/>
  <c r="L640" i="25" s="1"/>
  <c r="F641" i="25" s="1"/>
  <c r="D701" i="36" l="1"/>
  <c r="B701" i="36" s="1"/>
  <c r="E701" i="36"/>
  <c r="F701" i="36" s="1"/>
  <c r="G701" i="36" s="1"/>
  <c r="C702" i="36" s="1"/>
  <c r="G641" i="25"/>
  <c r="I641" i="25"/>
  <c r="K641" i="25" s="1"/>
  <c r="L641" i="25" s="1"/>
  <c r="F642" i="25" s="1"/>
  <c r="D702" i="36" l="1"/>
  <c r="B702" i="36" s="1"/>
  <c r="E702" i="36"/>
  <c r="F702" i="36" s="1"/>
  <c r="G702" i="36" s="1"/>
  <c r="C703" i="36" s="1"/>
  <c r="G642" i="25"/>
  <c r="I642" i="25"/>
  <c r="K642" i="25" s="1"/>
  <c r="L642" i="25" s="1"/>
  <c r="F643" i="25" s="1"/>
  <c r="D703" i="36" l="1"/>
  <c r="B703" i="36" s="1"/>
  <c r="E703" i="36"/>
  <c r="F703" i="36" s="1"/>
  <c r="G703" i="36" s="1"/>
  <c r="C704" i="36" s="1"/>
  <c r="G643" i="25"/>
  <c r="I643" i="25"/>
  <c r="K643" i="25" s="1"/>
  <c r="L643" i="25" s="1"/>
  <c r="F644" i="25" s="1"/>
  <c r="D704" i="36" l="1"/>
  <c r="B704" i="36" s="1"/>
  <c r="E704" i="36"/>
  <c r="F704" i="36" s="1"/>
  <c r="G704" i="36" s="1"/>
  <c r="C705" i="36" s="1"/>
  <c r="G644" i="25"/>
  <c r="I644" i="25"/>
  <c r="K644" i="25" s="1"/>
  <c r="L644" i="25" s="1"/>
  <c r="F645" i="25" s="1"/>
  <c r="D705" i="36" l="1"/>
  <c r="B705" i="36" s="1"/>
  <c r="E705" i="36"/>
  <c r="F705" i="36" s="1"/>
  <c r="G705" i="36" s="1"/>
  <c r="C706" i="36" s="1"/>
  <c r="G645" i="25"/>
  <c r="I645" i="25"/>
  <c r="K645" i="25" s="1"/>
  <c r="L645" i="25" s="1"/>
  <c r="F646" i="25" s="1"/>
  <c r="D706" i="36" l="1"/>
  <c r="B706" i="36" s="1"/>
  <c r="E706" i="36"/>
  <c r="F706" i="36" s="1"/>
  <c r="G706" i="36" s="1"/>
  <c r="C707" i="36" s="1"/>
  <c r="G646" i="25"/>
  <c r="I646" i="25"/>
  <c r="K646" i="25" s="1"/>
  <c r="L646" i="25" s="1"/>
  <c r="F647" i="25" s="1"/>
  <c r="D707" i="36" l="1"/>
  <c r="B707" i="36" s="1"/>
  <c r="E707" i="36"/>
  <c r="F707" i="36" s="1"/>
  <c r="G707" i="36" s="1"/>
  <c r="C708" i="36" s="1"/>
  <c r="G647" i="25"/>
  <c r="I647" i="25"/>
  <c r="K647" i="25" s="1"/>
  <c r="L647" i="25" s="1"/>
  <c r="F648" i="25" s="1"/>
  <c r="D708" i="36" l="1"/>
  <c r="B708" i="36" s="1"/>
  <c r="E708" i="36"/>
  <c r="F708" i="36" s="1"/>
  <c r="G708" i="36" s="1"/>
  <c r="C709" i="36" s="1"/>
  <c r="G648" i="25"/>
  <c r="I648" i="25"/>
  <c r="K648" i="25" s="1"/>
  <c r="L648" i="25" s="1"/>
  <c r="F649" i="25" s="1"/>
  <c r="D709" i="36" l="1"/>
  <c r="B709" i="36" s="1"/>
  <c r="E709" i="36"/>
  <c r="F709" i="36" s="1"/>
  <c r="G709" i="36" s="1"/>
  <c r="C710" i="36" s="1"/>
  <c r="G649" i="25"/>
  <c r="I649" i="25"/>
  <c r="K649" i="25" s="1"/>
  <c r="L649" i="25" s="1"/>
  <c r="F650" i="25" s="1"/>
  <c r="D710" i="36" l="1"/>
  <c r="B710" i="36" s="1"/>
  <c r="E710" i="36"/>
  <c r="F710" i="36" s="1"/>
  <c r="G710" i="36" s="1"/>
  <c r="C711" i="36" s="1"/>
  <c r="G650" i="25"/>
  <c r="I650" i="25"/>
  <c r="K650" i="25" s="1"/>
  <c r="L650" i="25" s="1"/>
  <c r="F651" i="25" s="1"/>
  <c r="D711" i="36" l="1"/>
  <c r="B711" i="36" s="1"/>
  <c r="E711" i="36"/>
  <c r="F711" i="36" s="1"/>
  <c r="G711" i="36" s="1"/>
  <c r="C712" i="36" s="1"/>
  <c r="G651" i="25"/>
  <c r="I651" i="25"/>
  <c r="K651" i="25" s="1"/>
  <c r="L651" i="25" s="1"/>
  <c r="F652" i="25" s="1"/>
  <c r="D712" i="36" l="1"/>
  <c r="B712" i="36" s="1"/>
  <c r="E712" i="36"/>
  <c r="F712" i="36" s="1"/>
  <c r="G712" i="36" s="1"/>
  <c r="C713" i="36" s="1"/>
  <c r="G652" i="25"/>
  <c r="I652" i="25"/>
  <c r="K652" i="25" s="1"/>
  <c r="L652" i="25" s="1"/>
  <c r="F653" i="25" s="1"/>
  <c r="D713" i="36" l="1"/>
  <c r="B713" i="36" s="1"/>
  <c r="E713" i="36"/>
  <c r="F713" i="36" s="1"/>
  <c r="G713" i="36" s="1"/>
  <c r="C714" i="36" s="1"/>
  <c r="G653" i="25"/>
  <c r="I653" i="25"/>
  <c r="K653" i="25" s="1"/>
  <c r="L653" i="25" s="1"/>
  <c r="F654" i="25" s="1"/>
  <c r="D714" i="36" l="1"/>
  <c r="B714" i="36" s="1"/>
  <c r="E714" i="36"/>
  <c r="F714" i="36" s="1"/>
  <c r="G714" i="36" s="1"/>
  <c r="C715" i="36" s="1"/>
  <c r="G654" i="25"/>
  <c r="I654" i="25"/>
  <c r="K654" i="25" s="1"/>
  <c r="L654" i="25" s="1"/>
  <c r="F655" i="25" s="1"/>
  <c r="D715" i="36" l="1"/>
  <c r="B715" i="36" s="1"/>
  <c r="E715" i="36"/>
  <c r="F715" i="36" s="1"/>
  <c r="G715" i="36" s="1"/>
  <c r="C716" i="36" s="1"/>
  <c r="G655" i="25"/>
  <c r="I655" i="25"/>
  <c r="K655" i="25" s="1"/>
  <c r="L655" i="25" s="1"/>
  <c r="F656" i="25" s="1"/>
  <c r="D716" i="36" l="1"/>
  <c r="B716" i="36" s="1"/>
  <c r="E716" i="36"/>
  <c r="F716" i="36" s="1"/>
  <c r="G716" i="36" s="1"/>
  <c r="C717" i="36" s="1"/>
  <c r="G656" i="25"/>
  <c r="I656" i="25"/>
  <c r="K656" i="25" s="1"/>
  <c r="L656" i="25" s="1"/>
  <c r="F657" i="25" s="1"/>
  <c r="D717" i="36" l="1"/>
  <c r="B717" i="36" s="1"/>
  <c r="E717" i="36"/>
  <c r="F717" i="36" s="1"/>
  <c r="G717" i="36" s="1"/>
  <c r="C718" i="36" s="1"/>
  <c r="G657" i="25"/>
  <c r="I657" i="25"/>
  <c r="K657" i="25" s="1"/>
  <c r="L657" i="25" s="1"/>
  <c r="F658" i="25" s="1"/>
  <c r="D718" i="36" l="1"/>
  <c r="B718" i="36" s="1"/>
  <c r="E718" i="36"/>
  <c r="F718" i="36" s="1"/>
  <c r="G718" i="36" s="1"/>
  <c r="C719" i="36" s="1"/>
  <c r="G658" i="25"/>
  <c r="I658" i="25"/>
  <c r="K658" i="25" s="1"/>
  <c r="L658" i="25" s="1"/>
  <c r="F659" i="25" s="1"/>
  <c r="D719" i="36" l="1"/>
  <c r="B719" i="36" s="1"/>
  <c r="E719" i="36"/>
  <c r="F719" i="36" s="1"/>
  <c r="G719" i="36" s="1"/>
  <c r="C720" i="36" s="1"/>
  <c r="G659" i="25"/>
  <c r="I659" i="25"/>
  <c r="K659" i="25" s="1"/>
  <c r="L659" i="25" s="1"/>
  <c r="F660" i="25" s="1"/>
  <c r="D720" i="36" l="1"/>
  <c r="B720" i="36" s="1"/>
  <c r="E720" i="36"/>
  <c r="F720" i="36" s="1"/>
  <c r="G720" i="36" s="1"/>
  <c r="C721" i="36" s="1"/>
  <c r="G660" i="25"/>
  <c r="I660" i="25"/>
  <c r="K660" i="25" s="1"/>
  <c r="L660" i="25" s="1"/>
  <c r="F661" i="25" s="1"/>
  <c r="D721" i="36" l="1"/>
  <c r="B721" i="36" s="1"/>
  <c r="E721" i="36"/>
  <c r="F721" i="36" s="1"/>
  <c r="G721" i="36" s="1"/>
  <c r="C722" i="36" s="1"/>
  <c r="G661" i="25"/>
  <c r="I661" i="25"/>
  <c r="K661" i="25" s="1"/>
  <c r="L661" i="25" s="1"/>
  <c r="F662" i="25" s="1"/>
  <c r="D722" i="36" l="1"/>
  <c r="B722" i="36" s="1"/>
  <c r="E722" i="36"/>
  <c r="F722" i="36" s="1"/>
  <c r="G722" i="36" s="1"/>
  <c r="C723" i="36" s="1"/>
  <c r="G662" i="25"/>
  <c r="I662" i="25"/>
  <c r="K662" i="25" s="1"/>
  <c r="L662" i="25" s="1"/>
  <c r="F663" i="25" s="1"/>
  <c r="D723" i="36" l="1"/>
  <c r="B723" i="36" s="1"/>
  <c r="E723" i="36"/>
  <c r="F723" i="36" s="1"/>
  <c r="G723" i="36" s="1"/>
  <c r="C724" i="36" s="1"/>
  <c r="G663" i="25"/>
  <c r="I663" i="25"/>
  <c r="K663" i="25" s="1"/>
  <c r="L663" i="25" s="1"/>
  <c r="F664" i="25" s="1"/>
  <c r="D724" i="36" l="1"/>
  <c r="B724" i="36" s="1"/>
  <c r="E724" i="36"/>
  <c r="F724" i="36" s="1"/>
  <c r="G724" i="36" s="1"/>
  <c r="C725" i="36" s="1"/>
  <c r="G664" i="25"/>
  <c r="I664" i="25"/>
  <c r="K664" i="25" s="1"/>
  <c r="L664" i="25" s="1"/>
  <c r="F665" i="25" s="1"/>
  <c r="D725" i="36" l="1"/>
  <c r="B725" i="36" s="1"/>
  <c r="E725" i="36"/>
  <c r="F725" i="36" s="1"/>
  <c r="G725" i="36" s="1"/>
  <c r="C726" i="36" s="1"/>
  <c r="G665" i="25"/>
  <c r="I665" i="25"/>
  <c r="K665" i="25" s="1"/>
  <c r="L665" i="25" s="1"/>
  <c r="F666" i="25" s="1"/>
  <c r="D726" i="36" l="1"/>
  <c r="B726" i="36" s="1"/>
  <c r="E726" i="36"/>
  <c r="F726" i="36" s="1"/>
  <c r="G726" i="36" s="1"/>
  <c r="C727" i="36" s="1"/>
  <c r="G666" i="25"/>
  <c r="I666" i="25"/>
  <c r="K666" i="25" s="1"/>
  <c r="L666" i="25" s="1"/>
  <c r="F667" i="25" s="1"/>
  <c r="D727" i="36" l="1"/>
  <c r="B727" i="36" s="1"/>
  <c r="E727" i="36"/>
  <c r="F727" i="36" s="1"/>
  <c r="G727" i="36" s="1"/>
  <c r="C728" i="36" s="1"/>
  <c r="G667" i="25"/>
  <c r="I667" i="25"/>
  <c r="K667" i="25" s="1"/>
  <c r="L667" i="25" s="1"/>
  <c r="F668" i="25" s="1"/>
  <c r="D728" i="36" l="1"/>
  <c r="B728" i="36" s="1"/>
  <c r="E728" i="36"/>
  <c r="F728" i="36" s="1"/>
  <c r="G728" i="36" s="1"/>
  <c r="C729" i="36" s="1"/>
  <c r="G668" i="25"/>
  <c r="I668" i="25"/>
  <c r="K668" i="25" s="1"/>
  <c r="L668" i="25" s="1"/>
  <c r="F669" i="25" s="1"/>
  <c r="D729" i="36" l="1"/>
  <c r="B729" i="36" s="1"/>
  <c r="E729" i="36"/>
  <c r="F729" i="36" s="1"/>
  <c r="G729" i="36" s="1"/>
  <c r="C730" i="36" s="1"/>
  <c r="G669" i="25"/>
  <c r="I669" i="25"/>
  <c r="K669" i="25" s="1"/>
  <c r="L669" i="25" s="1"/>
  <c r="F670" i="25" s="1"/>
  <c r="D730" i="36" l="1"/>
  <c r="B730" i="36" s="1"/>
  <c r="E730" i="36"/>
  <c r="F730" i="36" s="1"/>
  <c r="G730" i="36" s="1"/>
  <c r="C731" i="36" s="1"/>
  <c r="G670" i="25"/>
  <c r="I670" i="25"/>
  <c r="K670" i="25" s="1"/>
  <c r="L670" i="25" s="1"/>
  <c r="F671" i="25" s="1"/>
  <c r="D731" i="36" l="1"/>
  <c r="B731" i="36" s="1"/>
  <c r="E731" i="36"/>
  <c r="F731" i="36" s="1"/>
  <c r="G731" i="36" s="1"/>
  <c r="C732" i="36" s="1"/>
  <c r="G671" i="25"/>
  <c r="I671" i="25"/>
  <c r="K671" i="25" s="1"/>
  <c r="L671" i="25" s="1"/>
  <c r="F672" i="25" s="1"/>
  <c r="D732" i="36" l="1"/>
  <c r="B732" i="36" s="1"/>
  <c r="E732" i="36"/>
  <c r="F732" i="36" s="1"/>
  <c r="G732" i="36" s="1"/>
  <c r="C733" i="36" s="1"/>
  <c r="G672" i="25"/>
  <c r="I672" i="25"/>
  <c r="K672" i="25" s="1"/>
  <c r="L672" i="25" s="1"/>
  <c r="F673" i="25" s="1"/>
  <c r="D733" i="36" l="1"/>
  <c r="B733" i="36" s="1"/>
  <c r="E733" i="36"/>
  <c r="F733" i="36" s="1"/>
  <c r="G733" i="36" s="1"/>
  <c r="C734" i="36" s="1"/>
  <c r="G673" i="25"/>
  <c r="I673" i="25"/>
  <c r="K673" i="25" s="1"/>
  <c r="L673" i="25" s="1"/>
  <c r="F674" i="25" s="1"/>
  <c r="D734" i="36" l="1"/>
  <c r="B734" i="36" s="1"/>
  <c r="E734" i="36"/>
  <c r="F734" i="36" s="1"/>
  <c r="G734" i="36" s="1"/>
  <c r="C735" i="36" s="1"/>
  <c r="G674" i="25"/>
  <c r="I674" i="25"/>
  <c r="K674" i="25" s="1"/>
  <c r="L674" i="25" s="1"/>
  <c r="F675" i="25" s="1"/>
  <c r="D735" i="36" l="1"/>
  <c r="B735" i="36" s="1"/>
  <c r="E735" i="36"/>
  <c r="F735" i="36" s="1"/>
  <c r="G735" i="36" s="1"/>
  <c r="C736" i="36" s="1"/>
  <c r="G675" i="25"/>
  <c r="I675" i="25"/>
  <c r="K675" i="25" s="1"/>
  <c r="L675" i="25" s="1"/>
  <c r="F676" i="25" s="1"/>
  <c r="D736" i="36" l="1"/>
  <c r="B736" i="36" s="1"/>
  <c r="E736" i="36"/>
  <c r="F736" i="36" s="1"/>
  <c r="G736" i="36" s="1"/>
  <c r="C737" i="36" s="1"/>
  <c r="G676" i="25"/>
  <c r="I676" i="25"/>
  <c r="K676" i="25" s="1"/>
  <c r="L676" i="25" s="1"/>
  <c r="F677" i="25" s="1"/>
  <c r="D737" i="36" l="1"/>
  <c r="B737" i="36" s="1"/>
  <c r="E737" i="36"/>
  <c r="F737" i="36" s="1"/>
  <c r="G737" i="36" s="1"/>
  <c r="C738" i="36" s="1"/>
  <c r="G677" i="25"/>
  <c r="I677" i="25"/>
  <c r="K677" i="25" s="1"/>
  <c r="L677" i="25" s="1"/>
  <c r="F678" i="25" s="1"/>
  <c r="D738" i="36" l="1"/>
  <c r="B738" i="36" s="1"/>
  <c r="E738" i="36"/>
  <c r="F738" i="36" s="1"/>
  <c r="G738" i="36" s="1"/>
  <c r="C739" i="36" s="1"/>
  <c r="G678" i="25"/>
  <c r="I678" i="25"/>
  <c r="K678" i="25" s="1"/>
  <c r="L678" i="25" s="1"/>
  <c r="F679" i="25" s="1"/>
  <c r="D739" i="36" l="1"/>
  <c r="B739" i="36" s="1"/>
  <c r="E739" i="36"/>
  <c r="F739" i="36" s="1"/>
  <c r="G739" i="36" s="1"/>
  <c r="C740" i="36" s="1"/>
  <c r="G679" i="25"/>
  <c r="I679" i="25"/>
  <c r="K679" i="25" s="1"/>
  <c r="L679" i="25" s="1"/>
  <c r="F680" i="25" s="1"/>
  <c r="D740" i="36" l="1"/>
  <c r="B740" i="36" s="1"/>
  <c r="E740" i="36"/>
  <c r="F740" i="36" s="1"/>
  <c r="G740" i="36" s="1"/>
  <c r="C741" i="36" s="1"/>
  <c r="G680" i="25"/>
  <c r="I680" i="25"/>
  <c r="K680" i="25" s="1"/>
  <c r="L680" i="25" s="1"/>
  <c r="F681" i="25" s="1"/>
  <c r="D741" i="36" l="1"/>
  <c r="B741" i="36" s="1"/>
  <c r="E741" i="36"/>
  <c r="F741" i="36" s="1"/>
  <c r="G741" i="36" s="1"/>
  <c r="C742" i="36" s="1"/>
  <c r="G681" i="25"/>
  <c r="I681" i="25"/>
  <c r="K681" i="25" s="1"/>
  <c r="L681" i="25" s="1"/>
  <c r="F682" i="25" s="1"/>
  <c r="D742" i="36" l="1"/>
  <c r="B742" i="36" s="1"/>
  <c r="E742" i="36"/>
  <c r="F742" i="36" s="1"/>
  <c r="G742" i="36" s="1"/>
  <c r="C743" i="36" s="1"/>
  <c r="G682" i="25"/>
  <c r="I682" i="25"/>
  <c r="K682" i="25" s="1"/>
  <c r="L682" i="25" s="1"/>
  <c r="F683" i="25" s="1"/>
  <c r="D743" i="36" l="1"/>
  <c r="B743" i="36" s="1"/>
  <c r="E743" i="36"/>
  <c r="F743" i="36" s="1"/>
  <c r="G743" i="36" s="1"/>
  <c r="C744" i="36" s="1"/>
  <c r="G683" i="25"/>
  <c r="I683" i="25"/>
  <c r="K683" i="25" s="1"/>
  <c r="L683" i="25" s="1"/>
  <c r="F684" i="25" s="1"/>
  <c r="D744" i="36" l="1"/>
  <c r="B744" i="36" s="1"/>
  <c r="E744" i="36"/>
  <c r="F744" i="36" s="1"/>
  <c r="G744" i="36" s="1"/>
  <c r="C745" i="36" s="1"/>
  <c r="G684" i="25"/>
  <c r="I684" i="25"/>
  <c r="K684" i="25" s="1"/>
  <c r="L684" i="25" s="1"/>
  <c r="F685" i="25" s="1"/>
  <c r="D745" i="36" l="1"/>
  <c r="B745" i="36" s="1"/>
  <c r="E745" i="36"/>
  <c r="F745" i="36" s="1"/>
  <c r="G745" i="36" s="1"/>
  <c r="C746" i="36" s="1"/>
  <c r="G685" i="25"/>
  <c r="I685" i="25"/>
  <c r="K685" i="25" s="1"/>
  <c r="L685" i="25" s="1"/>
  <c r="F686" i="25" s="1"/>
  <c r="D746" i="36" l="1"/>
  <c r="B746" i="36" s="1"/>
  <c r="E746" i="36"/>
  <c r="F746" i="36" s="1"/>
  <c r="G746" i="36" s="1"/>
  <c r="C747" i="36" s="1"/>
  <c r="G686" i="25"/>
  <c r="I686" i="25"/>
  <c r="K686" i="25" s="1"/>
  <c r="L686" i="25" s="1"/>
  <c r="F687" i="25" s="1"/>
  <c r="D747" i="36" l="1"/>
  <c r="B747" i="36" s="1"/>
  <c r="E747" i="36"/>
  <c r="F747" i="36" s="1"/>
  <c r="G747" i="36" s="1"/>
  <c r="C748" i="36" s="1"/>
  <c r="G687" i="25"/>
  <c r="I687" i="25"/>
  <c r="K687" i="25" s="1"/>
  <c r="L687" i="25" s="1"/>
  <c r="F688" i="25" s="1"/>
  <c r="D748" i="36" l="1"/>
  <c r="B748" i="36" s="1"/>
  <c r="E748" i="36"/>
  <c r="F748" i="36" s="1"/>
  <c r="G748" i="36" s="1"/>
  <c r="C749" i="36" s="1"/>
  <c r="G688" i="25"/>
  <c r="I688" i="25"/>
  <c r="K688" i="25" s="1"/>
  <c r="L688" i="25" s="1"/>
  <c r="F689" i="25" s="1"/>
  <c r="D749" i="36" l="1"/>
  <c r="B749" i="36" s="1"/>
  <c r="E749" i="36"/>
  <c r="F749" i="36" s="1"/>
  <c r="G749" i="36" s="1"/>
  <c r="C750" i="36" s="1"/>
  <c r="G689" i="25"/>
  <c r="I689" i="25"/>
  <c r="K689" i="25" s="1"/>
  <c r="L689" i="25" s="1"/>
  <c r="F690" i="25" s="1"/>
  <c r="D750" i="36" l="1"/>
  <c r="B750" i="36" s="1"/>
  <c r="E750" i="36"/>
  <c r="F750" i="36" s="1"/>
  <c r="G750" i="36" s="1"/>
  <c r="C751" i="36" s="1"/>
  <c r="G690" i="25"/>
  <c r="I690" i="25"/>
  <c r="K690" i="25" s="1"/>
  <c r="L690" i="25" s="1"/>
  <c r="F691" i="25" s="1"/>
  <c r="D751" i="36" l="1"/>
  <c r="B751" i="36" s="1"/>
  <c r="E751" i="36"/>
  <c r="F751" i="36" s="1"/>
  <c r="G751" i="36" s="1"/>
  <c r="C752" i="36" s="1"/>
  <c r="G691" i="25"/>
  <c r="I691" i="25"/>
  <c r="K691" i="25" s="1"/>
  <c r="L691" i="25" s="1"/>
  <c r="F692" i="25" s="1"/>
  <c r="D752" i="36" l="1"/>
  <c r="B752" i="36" s="1"/>
  <c r="E752" i="36"/>
  <c r="F752" i="36" s="1"/>
  <c r="G752" i="36" s="1"/>
  <c r="C753" i="36" s="1"/>
  <c r="G692" i="25"/>
  <c r="I692" i="25"/>
  <c r="K692" i="25" s="1"/>
  <c r="L692" i="25" s="1"/>
  <c r="F693" i="25" s="1"/>
  <c r="D753" i="36" l="1"/>
  <c r="B753" i="36" s="1"/>
  <c r="E753" i="36"/>
  <c r="F753" i="36" s="1"/>
  <c r="G753" i="36" s="1"/>
  <c r="C754" i="36" s="1"/>
  <c r="G693" i="25"/>
  <c r="I693" i="25"/>
  <c r="K693" i="25" s="1"/>
  <c r="L693" i="25" s="1"/>
  <c r="F694" i="25" s="1"/>
  <c r="D754" i="36" l="1"/>
  <c r="B754" i="36" s="1"/>
  <c r="E754" i="36"/>
  <c r="F754" i="36" s="1"/>
  <c r="G754" i="36" s="1"/>
  <c r="C755" i="36" s="1"/>
  <c r="G694" i="25"/>
  <c r="I694" i="25"/>
  <c r="K694" i="25" s="1"/>
  <c r="L694" i="25" s="1"/>
  <c r="F695" i="25" s="1"/>
  <c r="E755" i="36" l="1"/>
  <c r="F755" i="36" s="1"/>
  <c r="G755" i="36" s="1"/>
  <c r="C756" i="36" s="1"/>
  <c r="D755" i="36"/>
  <c r="B755" i="36" s="1"/>
  <c r="G695" i="25"/>
  <c r="I695" i="25"/>
  <c r="K695" i="25" s="1"/>
  <c r="L695" i="25" s="1"/>
  <c r="F696" i="25" s="1"/>
  <c r="D756" i="36" l="1"/>
  <c r="B756" i="36" s="1"/>
  <c r="E756" i="36"/>
  <c r="F756" i="36" s="1"/>
  <c r="G756" i="36" s="1"/>
  <c r="C757" i="36" s="1"/>
  <c r="G696" i="25"/>
  <c r="I696" i="25"/>
  <c r="K696" i="25" s="1"/>
  <c r="L696" i="25" s="1"/>
  <c r="F697" i="25" s="1"/>
  <c r="D757" i="36" l="1"/>
  <c r="B757" i="36" s="1"/>
  <c r="E757" i="36"/>
  <c r="F757" i="36" s="1"/>
  <c r="G757" i="36" s="1"/>
  <c r="C758" i="36" s="1"/>
  <c r="G697" i="25"/>
  <c r="I697" i="25"/>
  <c r="K697" i="25" s="1"/>
  <c r="L697" i="25" s="1"/>
  <c r="F698" i="25" s="1"/>
  <c r="D758" i="36" l="1"/>
  <c r="B758" i="36" s="1"/>
  <c r="E758" i="36"/>
  <c r="F758" i="36" s="1"/>
  <c r="G758" i="36" s="1"/>
  <c r="C759" i="36" s="1"/>
  <c r="G698" i="25"/>
  <c r="I698" i="25"/>
  <c r="K698" i="25" s="1"/>
  <c r="L698" i="25" s="1"/>
  <c r="F699" i="25" s="1"/>
  <c r="D759" i="36" l="1"/>
  <c r="B759" i="36" s="1"/>
  <c r="E759" i="36"/>
  <c r="F759" i="36" s="1"/>
  <c r="G759" i="36" s="1"/>
  <c r="C760" i="36" s="1"/>
  <c r="G699" i="25"/>
  <c r="I699" i="25"/>
  <c r="K699" i="25" s="1"/>
  <c r="L699" i="25" s="1"/>
  <c r="F700" i="25" s="1"/>
  <c r="D760" i="36" l="1"/>
  <c r="B760" i="36" s="1"/>
  <c r="E760" i="36"/>
  <c r="F760" i="36" s="1"/>
  <c r="G760" i="36" s="1"/>
  <c r="C761" i="36" s="1"/>
  <c r="G700" i="25"/>
  <c r="I700" i="25"/>
  <c r="K700" i="25" s="1"/>
  <c r="L700" i="25" s="1"/>
  <c r="F701" i="25" s="1"/>
  <c r="D761" i="36" l="1"/>
  <c r="B761" i="36" s="1"/>
  <c r="E761" i="36"/>
  <c r="F761" i="36" s="1"/>
  <c r="G761" i="36" s="1"/>
  <c r="C762" i="36" s="1"/>
  <c r="G701" i="25"/>
  <c r="I701" i="25"/>
  <c r="K701" i="25" s="1"/>
  <c r="L701" i="25" s="1"/>
  <c r="F702" i="25" s="1"/>
  <c r="D762" i="36" l="1"/>
  <c r="B762" i="36" s="1"/>
  <c r="E762" i="36"/>
  <c r="F762" i="36" s="1"/>
  <c r="G762" i="36" s="1"/>
  <c r="C763" i="36" s="1"/>
  <c r="G702" i="25"/>
  <c r="I702" i="25"/>
  <c r="K702" i="25" s="1"/>
  <c r="L702" i="25" s="1"/>
  <c r="F703" i="25" s="1"/>
  <c r="D763" i="36" l="1"/>
  <c r="B763" i="36" s="1"/>
  <c r="E763" i="36"/>
  <c r="F763" i="36" s="1"/>
  <c r="G763" i="36" s="1"/>
  <c r="C764" i="36" s="1"/>
  <c r="G703" i="25"/>
  <c r="I703" i="25"/>
  <c r="K703" i="25" s="1"/>
  <c r="L703" i="25" s="1"/>
  <c r="F704" i="25" s="1"/>
  <c r="D764" i="36" l="1"/>
  <c r="B764" i="36" s="1"/>
  <c r="E764" i="36"/>
  <c r="F764" i="36" s="1"/>
  <c r="G764" i="36" s="1"/>
  <c r="C765" i="36" s="1"/>
  <c r="G704" i="25"/>
  <c r="I704" i="25"/>
  <c r="K704" i="25" s="1"/>
  <c r="L704" i="25" s="1"/>
  <c r="F705" i="25" s="1"/>
  <c r="D765" i="36" l="1"/>
  <c r="B765" i="36" s="1"/>
  <c r="E765" i="36"/>
  <c r="F765" i="36" s="1"/>
  <c r="G765" i="36" s="1"/>
  <c r="C766" i="36" s="1"/>
  <c r="G705" i="25"/>
  <c r="I705" i="25"/>
  <c r="K705" i="25" s="1"/>
  <c r="L705" i="25" s="1"/>
  <c r="F706" i="25" s="1"/>
  <c r="D766" i="36" l="1"/>
  <c r="B766" i="36" s="1"/>
  <c r="E766" i="36"/>
  <c r="F766" i="36" s="1"/>
  <c r="G766" i="36" s="1"/>
  <c r="C767" i="36" s="1"/>
  <c r="G706" i="25"/>
  <c r="I706" i="25"/>
  <c r="K706" i="25" s="1"/>
  <c r="L706" i="25" s="1"/>
  <c r="F707" i="25" s="1"/>
  <c r="D767" i="36" l="1"/>
  <c r="B767" i="36" s="1"/>
  <c r="E767" i="36"/>
  <c r="F767" i="36" s="1"/>
  <c r="G767" i="36" s="1"/>
  <c r="C768" i="36" s="1"/>
  <c r="G707" i="25"/>
  <c r="I707" i="25"/>
  <c r="K707" i="25" s="1"/>
  <c r="L707" i="25" s="1"/>
  <c r="F708" i="25" s="1"/>
  <c r="D768" i="36" l="1"/>
  <c r="B768" i="36" s="1"/>
  <c r="E768" i="36"/>
  <c r="F768" i="36" s="1"/>
  <c r="G768" i="36" s="1"/>
  <c r="C769" i="36" s="1"/>
  <c r="G708" i="25"/>
  <c r="I708" i="25"/>
  <c r="K708" i="25" s="1"/>
  <c r="L708" i="25" s="1"/>
  <c r="F709" i="25" s="1"/>
  <c r="D769" i="36" l="1"/>
  <c r="B769" i="36" s="1"/>
  <c r="E769" i="36"/>
  <c r="F769" i="36" s="1"/>
  <c r="G769" i="36" s="1"/>
  <c r="C770" i="36" s="1"/>
  <c r="G709" i="25"/>
  <c r="I709" i="25"/>
  <c r="K709" i="25" s="1"/>
  <c r="L709" i="25" s="1"/>
  <c r="F710" i="25" s="1"/>
  <c r="D770" i="36" l="1"/>
  <c r="B770" i="36" s="1"/>
  <c r="E770" i="36"/>
  <c r="F770" i="36" s="1"/>
  <c r="G770" i="36" s="1"/>
  <c r="C771" i="36" s="1"/>
  <c r="G710" i="25"/>
  <c r="I710" i="25"/>
  <c r="K710" i="25" s="1"/>
  <c r="L710" i="25" s="1"/>
  <c r="F711" i="25" s="1"/>
  <c r="E771" i="36" l="1"/>
  <c r="F771" i="36" s="1"/>
  <c r="G771" i="36" s="1"/>
  <c r="C772" i="36" s="1"/>
  <c r="D771" i="36"/>
  <c r="B771" i="36" s="1"/>
  <c r="G711" i="25"/>
  <c r="I711" i="25"/>
  <c r="K711" i="25" s="1"/>
  <c r="L711" i="25" s="1"/>
  <c r="F712" i="25" s="1"/>
  <c r="D772" i="36" l="1"/>
  <c r="B772" i="36" s="1"/>
  <c r="E772" i="36"/>
  <c r="F772" i="36" s="1"/>
  <c r="G772" i="36" s="1"/>
  <c r="C773" i="36" s="1"/>
  <c r="G712" i="25"/>
  <c r="I712" i="25"/>
  <c r="K712" i="25" s="1"/>
  <c r="L712" i="25" s="1"/>
  <c r="F713" i="25" s="1"/>
  <c r="D773" i="36" l="1"/>
  <c r="B773" i="36" s="1"/>
  <c r="E773" i="36"/>
  <c r="F773" i="36" s="1"/>
  <c r="G773" i="36" s="1"/>
  <c r="C774" i="36" s="1"/>
  <c r="G713" i="25"/>
  <c r="I713" i="25"/>
  <c r="K713" i="25" s="1"/>
  <c r="L713" i="25" s="1"/>
  <c r="F714" i="25" s="1"/>
  <c r="D774" i="36" l="1"/>
  <c r="B774" i="36" s="1"/>
  <c r="E774" i="36"/>
  <c r="F774" i="36" s="1"/>
  <c r="G774" i="36" s="1"/>
  <c r="C775" i="36" s="1"/>
  <c r="G714" i="25"/>
  <c r="I714" i="25"/>
  <c r="K714" i="25" s="1"/>
  <c r="L714" i="25" s="1"/>
  <c r="F715" i="25" s="1"/>
  <c r="D775" i="36" l="1"/>
  <c r="B775" i="36" s="1"/>
  <c r="E775" i="36"/>
  <c r="F775" i="36" s="1"/>
  <c r="G775" i="36" s="1"/>
  <c r="C776" i="36" s="1"/>
  <c r="G715" i="25"/>
  <c r="I715" i="25"/>
  <c r="K715" i="25" s="1"/>
  <c r="L715" i="25" s="1"/>
  <c r="F716" i="25" s="1"/>
  <c r="D776" i="36" l="1"/>
  <c r="B776" i="36" s="1"/>
  <c r="E776" i="36"/>
  <c r="F776" i="36" s="1"/>
  <c r="G776" i="36" s="1"/>
  <c r="C777" i="36" s="1"/>
  <c r="G716" i="25"/>
  <c r="I716" i="25"/>
  <c r="K716" i="25" s="1"/>
  <c r="L716" i="25" s="1"/>
  <c r="F717" i="25" s="1"/>
  <c r="D777" i="36" l="1"/>
  <c r="B777" i="36" s="1"/>
  <c r="E777" i="36"/>
  <c r="F777" i="36" s="1"/>
  <c r="G777" i="36" s="1"/>
  <c r="C778" i="36" s="1"/>
  <c r="G717" i="25"/>
  <c r="I717" i="25"/>
  <c r="K717" i="25" s="1"/>
  <c r="L717" i="25" s="1"/>
  <c r="F718" i="25" s="1"/>
  <c r="D778" i="36" l="1"/>
  <c r="B778" i="36" s="1"/>
  <c r="E778" i="36"/>
  <c r="F778" i="36" s="1"/>
  <c r="G778" i="36" s="1"/>
  <c r="C779" i="36" s="1"/>
  <c r="G718" i="25"/>
  <c r="I718" i="25"/>
  <c r="K718" i="25" s="1"/>
  <c r="L718" i="25" s="1"/>
  <c r="F719" i="25" s="1"/>
  <c r="D779" i="36" l="1"/>
  <c r="B779" i="36" s="1"/>
  <c r="E779" i="36"/>
  <c r="F779" i="36" s="1"/>
  <c r="G779" i="36" s="1"/>
  <c r="C780" i="36" s="1"/>
  <c r="G719" i="25"/>
  <c r="I719" i="25"/>
  <c r="K719" i="25" s="1"/>
  <c r="L719" i="25" s="1"/>
  <c r="F720" i="25" s="1"/>
  <c r="D780" i="36" l="1"/>
  <c r="B780" i="36" s="1"/>
  <c r="E780" i="36"/>
  <c r="F780" i="36" s="1"/>
  <c r="G780" i="36" s="1"/>
  <c r="C781" i="36" s="1"/>
  <c r="G720" i="25"/>
  <c r="I720" i="25"/>
  <c r="K720" i="25" s="1"/>
  <c r="L720" i="25" s="1"/>
  <c r="F721" i="25" s="1"/>
  <c r="D781" i="36" l="1"/>
  <c r="B781" i="36" s="1"/>
  <c r="E781" i="36"/>
  <c r="F781" i="36" s="1"/>
  <c r="G781" i="36" s="1"/>
  <c r="C782" i="36" s="1"/>
  <c r="G721" i="25"/>
  <c r="I721" i="25"/>
  <c r="K721" i="25" s="1"/>
  <c r="L721" i="25" s="1"/>
  <c r="F722" i="25" s="1"/>
  <c r="D782" i="36" l="1"/>
  <c r="B782" i="36" s="1"/>
  <c r="E782" i="36"/>
  <c r="F782" i="36" s="1"/>
  <c r="G782" i="36" s="1"/>
  <c r="C783" i="36" s="1"/>
  <c r="G722" i="25"/>
  <c r="I722" i="25"/>
  <c r="K722" i="25" s="1"/>
  <c r="L722" i="25" s="1"/>
  <c r="F723" i="25" s="1"/>
  <c r="D783" i="36" l="1"/>
  <c r="B783" i="36" s="1"/>
  <c r="E783" i="36"/>
  <c r="F783" i="36" s="1"/>
  <c r="G783" i="36" s="1"/>
  <c r="C784" i="36" s="1"/>
  <c r="G723" i="25"/>
  <c r="I723" i="25"/>
  <c r="K723" i="25" s="1"/>
  <c r="L723" i="25" s="1"/>
  <c r="F724" i="25" s="1"/>
  <c r="D784" i="36" l="1"/>
  <c r="B784" i="36" s="1"/>
  <c r="E784" i="36"/>
  <c r="F784" i="36" s="1"/>
  <c r="G784" i="36" s="1"/>
  <c r="C785" i="36" s="1"/>
  <c r="G724" i="25"/>
  <c r="I724" i="25"/>
  <c r="K724" i="25" s="1"/>
  <c r="L724" i="25" s="1"/>
  <c r="F725" i="25" s="1"/>
  <c r="D785" i="36" l="1"/>
  <c r="B785" i="36" s="1"/>
  <c r="E785" i="36"/>
  <c r="F785" i="36" s="1"/>
  <c r="G785" i="36" s="1"/>
  <c r="C786" i="36" s="1"/>
  <c r="G725" i="25"/>
  <c r="I725" i="25"/>
  <c r="K725" i="25" s="1"/>
  <c r="L725" i="25" s="1"/>
  <c r="F726" i="25" s="1"/>
  <c r="D786" i="36" l="1"/>
  <c r="B786" i="36" s="1"/>
  <c r="E786" i="36"/>
  <c r="F786" i="36" s="1"/>
  <c r="G786" i="36" s="1"/>
  <c r="C787" i="36" s="1"/>
  <c r="G726" i="25"/>
  <c r="I726" i="25"/>
  <c r="K726" i="25" s="1"/>
  <c r="L726" i="25" s="1"/>
  <c r="F727" i="25" s="1"/>
  <c r="D787" i="36" l="1"/>
  <c r="B787" i="36" s="1"/>
  <c r="E787" i="36"/>
  <c r="F787" i="36" s="1"/>
  <c r="G787" i="36" s="1"/>
  <c r="C788" i="36" s="1"/>
  <c r="G727" i="25"/>
  <c r="I727" i="25"/>
  <c r="K727" i="25" s="1"/>
  <c r="L727" i="25" s="1"/>
  <c r="F728" i="25" s="1"/>
  <c r="D788" i="36" l="1"/>
  <c r="B788" i="36" s="1"/>
  <c r="E788" i="36"/>
  <c r="F788" i="36" s="1"/>
  <c r="G788" i="36" s="1"/>
  <c r="C789" i="36" s="1"/>
  <c r="G728" i="25"/>
  <c r="I728" i="25"/>
  <c r="K728" i="25" s="1"/>
  <c r="L728" i="25" s="1"/>
  <c r="F729" i="25" s="1"/>
  <c r="D789" i="36" l="1"/>
  <c r="B789" i="36" s="1"/>
  <c r="E789" i="36"/>
  <c r="F789" i="36" s="1"/>
  <c r="G789" i="36" s="1"/>
  <c r="C790" i="36" s="1"/>
  <c r="G729" i="25"/>
  <c r="I729" i="25"/>
  <c r="K729" i="25" s="1"/>
  <c r="L729" i="25" s="1"/>
  <c r="F730" i="25" s="1"/>
  <c r="D790" i="36" l="1"/>
  <c r="B790" i="36" s="1"/>
  <c r="E790" i="36"/>
  <c r="F790" i="36" s="1"/>
  <c r="G790" i="36" s="1"/>
  <c r="C791" i="36" s="1"/>
  <c r="G730" i="25"/>
  <c r="I730" i="25"/>
  <c r="K730" i="25" s="1"/>
  <c r="L730" i="25" s="1"/>
  <c r="F731" i="25" s="1"/>
  <c r="D791" i="36" l="1"/>
  <c r="B791" i="36" s="1"/>
  <c r="E791" i="36"/>
  <c r="F791" i="36" s="1"/>
  <c r="G791" i="36" s="1"/>
  <c r="C792" i="36" s="1"/>
  <c r="G731" i="25"/>
  <c r="I731" i="25"/>
  <c r="K731" i="25" s="1"/>
  <c r="L731" i="25" s="1"/>
  <c r="F732" i="25" s="1"/>
  <c r="D792" i="36" l="1"/>
  <c r="B792" i="36" s="1"/>
  <c r="E792" i="36"/>
  <c r="F792" i="36" s="1"/>
  <c r="G792" i="36" s="1"/>
  <c r="C793" i="36" s="1"/>
  <c r="G732" i="25"/>
  <c r="I732" i="25"/>
  <c r="K732" i="25" s="1"/>
  <c r="L732" i="25" s="1"/>
  <c r="F733" i="25" s="1"/>
  <c r="D793" i="36" l="1"/>
  <c r="B793" i="36" s="1"/>
  <c r="E793" i="36"/>
  <c r="F793" i="36" s="1"/>
  <c r="G793" i="36" s="1"/>
  <c r="C794" i="36" s="1"/>
  <c r="G733" i="25"/>
  <c r="I733" i="25"/>
  <c r="K733" i="25" s="1"/>
  <c r="L733" i="25" s="1"/>
  <c r="F734" i="25" s="1"/>
  <c r="D794" i="36" l="1"/>
  <c r="B794" i="36" s="1"/>
  <c r="E794" i="36"/>
  <c r="F794" i="36" s="1"/>
  <c r="G794" i="36" s="1"/>
  <c r="C795" i="36" s="1"/>
  <c r="G734" i="25"/>
  <c r="I734" i="25"/>
  <c r="K734" i="25" s="1"/>
  <c r="L734" i="25" s="1"/>
  <c r="F735" i="25" s="1"/>
  <c r="D795" i="36" l="1"/>
  <c r="B795" i="36" s="1"/>
  <c r="E795" i="36"/>
  <c r="F795" i="36" s="1"/>
  <c r="G795" i="36" s="1"/>
  <c r="C796" i="36" s="1"/>
  <c r="G735" i="25"/>
  <c r="I735" i="25"/>
  <c r="K735" i="25" s="1"/>
  <c r="L735" i="25" s="1"/>
  <c r="F736" i="25" s="1"/>
  <c r="D796" i="36" l="1"/>
  <c r="B796" i="36" s="1"/>
  <c r="E796" i="36"/>
  <c r="F796" i="36" s="1"/>
  <c r="G796" i="36" s="1"/>
  <c r="C797" i="36" s="1"/>
  <c r="G736" i="25"/>
  <c r="I736" i="25"/>
  <c r="K736" i="25" s="1"/>
  <c r="L736" i="25" s="1"/>
  <c r="F737" i="25" s="1"/>
  <c r="D797" i="36" l="1"/>
  <c r="B797" i="36" s="1"/>
  <c r="E797" i="36"/>
  <c r="F797" i="36" s="1"/>
  <c r="G797" i="36" s="1"/>
  <c r="C798" i="36" s="1"/>
  <c r="G737" i="25"/>
  <c r="I737" i="25"/>
  <c r="K737" i="25" s="1"/>
  <c r="L737" i="25" s="1"/>
  <c r="F738" i="25" s="1"/>
  <c r="D798" i="36" l="1"/>
  <c r="B798" i="36" s="1"/>
  <c r="E798" i="36"/>
  <c r="F798" i="36" s="1"/>
  <c r="G798" i="36" s="1"/>
  <c r="C799" i="36" s="1"/>
  <c r="G738" i="25"/>
  <c r="I738" i="25"/>
  <c r="K738" i="25" s="1"/>
  <c r="L738" i="25" s="1"/>
  <c r="F739" i="25" s="1"/>
  <c r="D799" i="36" l="1"/>
  <c r="B799" i="36" s="1"/>
  <c r="E799" i="36"/>
  <c r="F799" i="36" s="1"/>
  <c r="G799" i="36" s="1"/>
  <c r="C800" i="36" s="1"/>
  <c r="G739" i="25"/>
  <c r="I739" i="25"/>
  <c r="K739" i="25" s="1"/>
  <c r="L739" i="25" s="1"/>
  <c r="F740" i="25" s="1"/>
  <c r="D800" i="36" l="1"/>
  <c r="B800" i="36" s="1"/>
  <c r="E800" i="36"/>
  <c r="F800" i="36" s="1"/>
  <c r="G800" i="36" s="1"/>
  <c r="C801" i="36" s="1"/>
  <c r="G740" i="25"/>
  <c r="I740" i="25"/>
  <c r="K740" i="25" s="1"/>
  <c r="L740" i="25" s="1"/>
  <c r="F741" i="25" s="1"/>
  <c r="E801" i="36" l="1"/>
  <c r="F801" i="36" s="1"/>
  <c r="G801" i="36" s="1"/>
  <c r="C802" i="36" s="1"/>
  <c r="D801" i="36"/>
  <c r="B801" i="36" s="1"/>
  <c r="G741" i="25"/>
  <c r="I741" i="25"/>
  <c r="K741" i="25" s="1"/>
  <c r="L741" i="25" s="1"/>
  <c r="F742" i="25" s="1"/>
  <c r="D802" i="36" l="1"/>
  <c r="B802" i="36" s="1"/>
  <c r="E802" i="36"/>
  <c r="F802" i="36" s="1"/>
  <c r="G802" i="36" s="1"/>
  <c r="C803" i="36" s="1"/>
  <c r="G742" i="25"/>
  <c r="I742" i="25"/>
  <c r="K742" i="25" s="1"/>
  <c r="L742" i="25" s="1"/>
  <c r="F743" i="25" s="1"/>
  <c r="D803" i="36" l="1"/>
  <c r="B803" i="36" s="1"/>
  <c r="E803" i="36"/>
  <c r="F803" i="36" s="1"/>
  <c r="G803" i="36" s="1"/>
  <c r="C804" i="36" s="1"/>
  <c r="G743" i="25"/>
  <c r="I743" i="25"/>
  <c r="K743" i="25" s="1"/>
  <c r="L743" i="25" s="1"/>
  <c r="F744" i="25" s="1"/>
  <c r="D804" i="36" l="1"/>
  <c r="E804" i="36"/>
  <c r="F804" i="36" s="1"/>
  <c r="G804" i="36" s="1"/>
  <c r="C805" i="36" s="1"/>
  <c r="G744" i="25"/>
  <c r="I744" i="25"/>
  <c r="K744" i="25" s="1"/>
  <c r="L744" i="25" s="1"/>
  <c r="F745" i="25" s="1"/>
  <c r="B804" i="36" l="1"/>
  <c r="D805" i="36"/>
  <c r="B805" i="36" s="1"/>
  <c r="E805" i="36"/>
  <c r="F805" i="36" s="1"/>
  <c r="G805" i="36" s="1"/>
  <c r="C806" i="36" s="1"/>
  <c r="G745" i="25"/>
  <c r="I745" i="25"/>
  <c r="K745" i="25" s="1"/>
  <c r="L745" i="25" s="1"/>
  <c r="F746" i="25" s="1"/>
  <c r="D806" i="36" l="1"/>
  <c r="B806" i="36" s="1"/>
  <c r="E806" i="36"/>
  <c r="F806" i="36" s="1"/>
  <c r="G806" i="36" s="1"/>
  <c r="C807" i="36" s="1"/>
  <c r="G746" i="25"/>
  <c r="I746" i="25"/>
  <c r="K746" i="25" s="1"/>
  <c r="L746" i="25" s="1"/>
  <c r="F747" i="25" s="1"/>
  <c r="E807" i="36" l="1"/>
  <c r="F807" i="36" s="1"/>
  <c r="G807" i="36" s="1"/>
  <c r="C808" i="36" s="1"/>
  <c r="D807" i="36"/>
  <c r="B807" i="36" s="1"/>
  <c r="G747" i="25"/>
  <c r="I747" i="25"/>
  <c r="K747" i="25" s="1"/>
  <c r="L747" i="25" s="1"/>
  <c r="F748" i="25" s="1"/>
  <c r="D808" i="36" l="1"/>
  <c r="B808" i="36" s="1"/>
  <c r="E808" i="36"/>
  <c r="F808" i="36" s="1"/>
  <c r="G808" i="36" s="1"/>
  <c r="C809" i="36" s="1"/>
  <c r="G748" i="25"/>
  <c r="I748" i="25"/>
  <c r="K748" i="25" s="1"/>
  <c r="L748" i="25" s="1"/>
  <c r="F749" i="25" s="1"/>
  <c r="D809" i="36" l="1"/>
  <c r="B809" i="36" s="1"/>
  <c r="E809" i="36"/>
  <c r="F809" i="36" s="1"/>
  <c r="G809" i="36" s="1"/>
  <c r="C810" i="36" s="1"/>
  <c r="G749" i="25"/>
  <c r="I749" i="25"/>
  <c r="K749" i="25" s="1"/>
  <c r="L749" i="25" s="1"/>
  <c r="F750" i="25" s="1"/>
  <c r="D810" i="36" l="1"/>
  <c r="B810" i="36" s="1"/>
  <c r="E810" i="36"/>
  <c r="F810" i="36" s="1"/>
  <c r="G810" i="36" s="1"/>
  <c r="C811" i="36" s="1"/>
  <c r="G750" i="25"/>
  <c r="I750" i="25"/>
  <c r="K750" i="25" s="1"/>
  <c r="L750" i="25" s="1"/>
  <c r="F751" i="25" s="1"/>
  <c r="D811" i="36" l="1"/>
  <c r="B811" i="36" s="1"/>
  <c r="E811" i="36"/>
  <c r="F811" i="36" s="1"/>
  <c r="G811" i="36" s="1"/>
  <c r="C812" i="36" s="1"/>
  <c r="G751" i="25"/>
  <c r="I751" i="25"/>
  <c r="K751" i="25" s="1"/>
  <c r="L751" i="25" s="1"/>
  <c r="F752" i="25" s="1"/>
  <c r="D812" i="36" l="1"/>
  <c r="B812" i="36" s="1"/>
  <c r="E812" i="36"/>
  <c r="F812" i="36" s="1"/>
  <c r="G812" i="36" s="1"/>
  <c r="C813" i="36" s="1"/>
  <c r="G752" i="25"/>
  <c r="I752" i="25"/>
  <c r="K752" i="25" s="1"/>
  <c r="L752" i="25" s="1"/>
  <c r="F753" i="25" s="1"/>
  <c r="D813" i="36" l="1"/>
  <c r="B813" i="36" s="1"/>
  <c r="E813" i="36"/>
  <c r="F813" i="36" s="1"/>
  <c r="G813" i="36" s="1"/>
  <c r="C814" i="36" s="1"/>
  <c r="G753" i="25"/>
  <c r="I753" i="25"/>
  <c r="K753" i="25" s="1"/>
  <c r="L753" i="25" s="1"/>
  <c r="F754" i="25" s="1"/>
  <c r="D814" i="36" l="1"/>
  <c r="B814" i="36" s="1"/>
  <c r="E814" i="36"/>
  <c r="F814" i="36" s="1"/>
  <c r="G814" i="36" s="1"/>
  <c r="C815" i="36" s="1"/>
  <c r="G754" i="25"/>
  <c r="I754" i="25"/>
  <c r="K754" i="25" s="1"/>
  <c r="L754" i="25" s="1"/>
  <c r="F755" i="25" s="1"/>
  <c r="D815" i="36" l="1"/>
  <c r="B815" i="36" s="1"/>
  <c r="E815" i="36"/>
  <c r="F815" i="36" s="1"/>
  <c r="G815" i="36" s="1"/>
  <c r="C816" i="36" s="1"/>
  <c r="G755" i="25"/>
  <c r="I755" i="25"/>
  <c r="K755" i="25" s="1"/>
  <c r="L755" i="25" s="1"/>
  <c r="F756" i="25" s="1"/>
  <c r="D816" i="36" l="1"/>
  <c r="B816" i="36" s="1"/>
  <c r="E816" i="36"/>
  <c r="F816" i="36" s="1"/>
  <c r="G816" i="36" s="1"/>
  <c r="C817" i="36" s="1"/>
  <c r="G756" i="25"/>
  <c r="I756" i="25"/>
  <c r="K756" i="25" s="1"/>
  <c r="L756" i="25" s="1"/>
  <c r="F757" i="25" s="1"/>
  <c r="D817" i="36" l="1"/>
  <c r="B817" i="36" s="1"/>
  <c r="E817" i="36"/>
  <c r="F817" i="36" s="1"/>
  <c r="G817" i="36" s="1"/>
  <c r="C818" i="36" s="1"/>
  <c r="G757" i="25"/>
  <c r="I757" i="25"/>
  <c r="K757" i="25" s="1"/>
  <c r="L757" i="25" s="1"/>
  <c r="F758" i="25" s="1"/>
  <c r="D818" i="36" l="1"/>
  <c r="B818" i="36" s="1"/>
  <c r="E818" i="36"/>
  <c r="F818" i="36" s="1"/>
  <c r="G818" i="36" s="1"/>
  <c r="C819" i="36" s="1"/>
  <c r="G758" i="25"/>
  <c r="I758" i="25"/>
  <c r="K758" i="25" s="1"/>
  <c r="L758" i="25" s="1"/>
  <c r="F759" i="25" s="1"/>
  <c r="D819" i="36" l="1"/>
  <c r="B819" i="36" s="1"/>
  <c r="E819" i="36"/>
  <c r="F819" i="36" s="1"/>
  <c r="G819" i="36" s="1"/>
  <c r="C820" i="36" s="1"/>
  <c r="G759" i="25"/>
  <c r="I759" i="25"/>
  <c r="K759" i="25" s="1"/>
  <c r="L759" i="25" s="1"/>
  <c r="F760" i="25" s="1"/>
  <c r="D820" i="36" l="1"/>
  <c r="B820" i="36" s="1"/>
  <c r="E820" i="36"/>
  <c r="F820" i="36" s="1"/>
  <c r="G820" i="36" s="1"/>
  <c r="C821" i="36" s="1"/>
  <c r="G760" i="25"/>
  <c r="I760" i="25"/>
  <c r="K760" i="25" s="1"/>
  <c r="L760" i="25" s="1"/>
  <c r="F761" i="25" s="1"/>
  <c r="D821" i="36" l="1"/>
  <c r="B821" i="36" s="1"/>
  <c r="E821" i="36"/>
  <c r="F821" i="36" s="1"/>
  <c r="G821" i="36" s="1"/>
  <c r="C822" i="36" s="1"/>
  <c r="G761" i="25"/>
  <c r="I761" i="25"/>
  <c r="K761" i="25" s="1"/>
  <c r="L761" i="25" s="1"/>
  <c r="F762" i="25" s="1"/>
  <c r="D822" i="36" l="1"/>
  <c r="B822" i="36" s="1"/>
  <c r="E822" i="36"/>
  <c r="F822" i="36" s="1"/>
  <c r="G822" i="36" s="1"/>
  <c r="C823" i="36" s="1"/>
  <c r="G762" i="25"/>
  <c r="I762" i="25"/>
  <c r="K762" i="25" s="1"/>
  <c r="L762" i="25" s="1"/>
  <c r="F763" i="25" s="1"/>
  <c r="D823" i="36" l="1"/>
  <c r="B823" i="36" s="1"/>
  <c r="E823" i="36"/>
  <c r="F823" i="36" s="1"/>
  <c r="G823" i="36" s="1"/>
  <c r="C824" i="36" s="1"/>
  <c r="G763" i="25"/>
  <c r="I763" i="25"/>
  <c r="K763" i="25" s="1"/>
  <c r="L763" i="25" s="1"/>
  <c r="F764" i="25" s="1"/>
  <c r="D824" i="36" l="1"/>
  <c r="B824" i="36" s="1"/>
  <c r="E824" i="36"/>
  <c r="F824" i="36" s="1"/>
  <c r="G824" i="36" s="1"/>
  <c r="C825" i="36" s="1"/>
  <c r="G764" i="25"/>
  <c r="I764" i="25"/>
  <c r="K764" i="25" s="1"/>
  <c r="L764" i="25" s="1"/>
  <c r="F765" i="25" s="1"/>
  <c r="E825" i="36" l="1"/>
  <c r="F825" i="36" s="1"/>
  <c r="G825" i="36" s="1"/>
  <c r="C826" i="36" s="1"/>
  <c r="D825" i="36"/>
  <c r="B825" i="36" s="1"/>
  <c r="G765" i="25"/>
  <c r="I765" i="25"/>
  <c r="K765" i="25" s="1"/>
  <c r="L765" i="25" s="1"/>
  <c r="F766" i="25" s="1"/>
  <c r="D826" i="36" l="1"/>
  <c r="B826" i="36" s="1"/>
  <c r="E826" i="36"/>
  <c r="F826" i="36" s="1"/>
  <c r="G826" i="36" s="1"/>
  <c r="C827" i="36" s="1"/>
  <c r="G766" i="25"/>
  <c r="I766" i="25"/>
  <c r="K766" i="25" s="1"/>
  <c r="L766" i="25" s="1"/>
  <c r="F767" i="25" s="1"/>
  <c r="D827" i="36" l="1"/>
  <c r="B827" i="36" s="1"/>
  <c r="E827" i="36"/>
  <c r="F827" i="36" s="1"/>
  <c r="G827" i="36" s="1"/>
  <c r="C828" i="36" s="1"/>
  <c r="G767" i="25"/>
  <c r="I767" i="25"/>
  <c r="K767" i="25" s="1"/>
  <c r="L767" i="25" s="1"/>
  <c r="F768" i="25" s="1"/>
  <c r="D828" i="36" l="1"/>
  <c r="B828" i="36" s="1"/>
  <c r="E828" i="36"/>
  <c r="F828" i="36" s="1"/>
  <c r="G828" i="36" s="1"/>
  <c r="C829" i="36" s="1"/>
  <c r="G768" i="25"/>
  <c r="I768" i="25"/>
  <c r="K768" i="25" s="1"/>
  <c r="L768" i="25" s="1"/>
  <c r="F769" i="25" s="1"/>
  <c r="D829" i="36" l="1"/>
  <c r="B829" i="36" s="1"/>
  <c r="E829" i="36"/>
  <c r="F829" i="36" s="1"/>
  <c r="G829" i="36" s="1"/>
  <c r="C830" i="36" s="1"/>
  <c r="G769" i="25"/>
  <c r="I769" i="25"/>
  <c r="K769" i="25" s="1"/>
  <c r="L769" i="25" s="1"/>
  <c r="F770" i="25" s="1"/>
  <c r="E830" i="36" l="1"/>
  <c r="F830" i="36" s="1"/>
  <c r="G830" i="36" s="1"/>
  <c r="C831" i="36" s="1"/>
  <c r="D830" i="36"/>
  <c r="B830" i="36" s="1"/>
  <c r="G770" i="25"/>
  <c r="I770" i="25"/>
  <c r="K770" i="25" s="1"/>
  <c r="L770" i="25" s="1"/>
  <c r="F771" i="25" s="1"/>
  <c r="D831" i="36" l="1"/>
  <c r="B831" i="36" s="1"/>
  <c r="E831" i="36"/>
  <c r="F831" i="36" s="1"/>
  <c r="G831" i="36" s="1"/>
  <c r="C832" i="36" s="1"/>
  <c r="G771" i="25"/>
  <c r="I771" i="25"/>
  <c r="K771" i="25" s="1"/>
  <c r="L771" i="25" s="1"/>
  <c r="F772" i="25" s="1"/>
  <c r="D832" i="36" l="1"/>
  <c r="B832" i="36" s="1"/>
  <c r="E832" i="36"/>
  <c r="F832" i="36" s="1"/>
  <c r="G832" i="36" s="1"/>
  <c r="C833" i="36" s="1"/>
  <c r="G772" i="25"/>
  <c r="I772" i="25"/>
  <c r="K772" i="25" s="1"/>
  <c r="L772" i="25" s="1"/>
  <c r="F773" i="25" s="1"/>
  <c r="D833" i="36" l="1"/>
  <c r="B833" i="36" s="1"/>
  <c r="E833" i="36"/>
  <c r="F833" i="36" s="1"/>
  <c r="G833" i="36" s="1"/>
  <c r="C834" i="36" s="1"/>
  <c r="G773" i="25"/>
  <c r="I773" i="25"/>
  <c r="K773" i="25" s="1"/>
  <c r="L773" i="25" s="1"/>
  <c r="F774" i="25" s="1"/>
  <c r="D834" i="36" l="1"/>
  <c r="B834" i="36" s="1"/>
  <c r="E834" i="36"/>
  <c r="F834" i="36" s="1"/>
  <c r="G834" i="36" s="1"/>
  <c r="C835" i="36" s="1"/>
  <c r="G774" i="25"/>
  <c r="I774" i="25"/>
  <c r="K774" i="25" s="1"/>
  <c r="L774" i="25" s="1"/>
  <c r="F775" i="25" s="1"/>
  <c r="D835" i="36" l="1"/>
  <c r="B835" i="36" s="1"/>
  <c r="E835" i="36"/>
  <c r="F835" i="36" s="1"/>
  <c r="G835" i="36" s="1"/>
  <c r="C836" i="36" s="1"/>
  <c r="G775" i="25"/>
  <c r="I775" i="25"/>
  <c r="K775" i="25" s="1"/>
  <c r="L775" i="25" s="1"/>
  <c r="F776" i="25" s="1"/>
  <c r="D836" i="36" l="1"/>
  <c r="B836" i="36" s="1"/>
  <c r="E836" i="36"/>
  <c r="F836" i="36" s="1"/>
  <c r="G836" i="36" s="1"/>
  <c r="C837" i="36" s="1"/>
  <c r="G776" i="25"/>
  <c r="I776" i="25"/>
  <c r="K776" i="25" s="1"/>
  <c r="L776" i="25" s="1"/>
  <c r="F777" i="25" s="1"/>
  <c r="E837" i="36" l="1"/>
  <c r="F837" i="36" s="1"/>
  <c r="G837" i="36" s="1"/>
  <c r="C838" i="36" s="1"/>
  <c r="D837" i="36"/>
  <c r="B837" i="36" s="1"/>
  <c r="G777" i="25"/>
  <c r="I777" i="25"/>
  <c r="K777" i="25" s="1"/>
  <c r="L777" i="25" s="1"/>
  <c r="F778" i="25" s="1"/>
  <c r="D838" i="36" l="1"/>
  <c r="B838" i="36" s="1"/>
  <c r="E838" i="36"/>
  <c r="F838" i="36" s="1"/>
  <c r="G838" i="36" s="1"/>
  <c r="C839" i="36" s="1"/>
  <c r="G778" i="25"/>
  <c r="I778" i="25"/>
  <c r="K778" i="25" s="1"/>
  <c r="L778" i="25" s="1"/>
  <c r="F779" i="25" s="1"/>
  <c r="D839" i="36" l="1"/>
  <c r="B839" i="36" s="1"/>
  <c r="E839" i="36"/>
  <c r="F839" i="36" s="1"/>
  <c r="G839" i="36" s="1"/>
  <c r="C840" i="36" s="1"/>
  <c r="G779" i="25"/>
  <c r="I779" i="25"/>
  <c r="K779" i="25" s="1"/>
  <c r="L779" i="25" s="1"/>
  <c r="F780" i="25" s="1"/>
  <c r="D840" i="36" l="1"/>
  <c r="B840" i="36" s="1"/>
  <c r="E840" i="36"/>
  <c r="F840" i="36" s="1"/>
  <c r="G840" i="36" s="1"/>
  <c r="C841" i="36" s="1"/>
  <c r="G780" i="25"/>
  <c r="I780" i="25"/>
  <c r="K780" i="25" s="1"/>
  <c r="L780" i="25" s="1"/>
  <c r="F781" i="25" s="1"/>
  <c r="D841" i="36" l="1"/>
  <c r="B841" i="36" s="1"/>
  <c r="E841" i="36"/>
  <c r="F841" i="36" s="1"/>
  <c r="G841" i="36" s="1"/>
  <c r="C842" i="36" s="1"/>
  <c r="G781" i="25"/>
  <c r="I781" i="25"/>
  <c r="K781" i="25" s="1"/>
  <c r="L781" i="25" s="1"/>
  <c r="F782" i="25" s="1"/>
  <c r="D842" i="36" l="1"/>
  <c r="B842" i="36" s="1"/>
  <c r="E842" i="36"/>
  <c r="F842" i="36" s="1"/>
  <c r="G842" i="36" s="1"/>
  <c r="C843" i="36" s="1"/>
  <c r="G782" i="25"/>
  <c r="I782" i="25"/>
  <c r="K782" i="25" s="1"/>
  <c r="L782" i="25" s="1"/>
  <c r="F783" i="25" s="1"/>
  <c r="D843" i="36" l="1"/>
  <c r="B843" i="36" s="1"/>
  <c r="E843" i="36"/>
  <c r="F843" i="36" s="1"/>
  <c r="G843" i="36" s="1"/>
  <c r="C844" i="36" s="1"/>
  <c r="G783" i="25"/>
  <c r="I783" i="25"/>
  <c r="K783" i="25" s="1"/>
  <c r="L783" i="25" s="1"/>
  <c r="F784" i="25" s="1"/>
  <c r="D844" i="36" l="1"/>
  <c r="B844" i="36" s="1"/>
  <c r="E844" i="36"/>
  <c r="F844" i="36" s="1"/>
  <c r="G844" i="36" s="1"/>
  <c r="C845" i="36" s="1"/>
  <c r="G784" i="25"/>
  <c r="I784" i="25"/>
  <c r="K784" i="25" s="1"/>
  <c r="L784" i="25" s="1"/>
  <c r="F785" i="25" s="1"/>
  <c r="D845" i="36" l="1"/>
  <c r="B845" i="36" s="1"/>
  <c r="E845" i="36"/>
  <c r="F845" i="36" s="1"/>
  <c r="G845" i="36" s="1"/>
  <c r="C846" i="36" s="1"/>
  <c r="G785" i="25"/>
  <c r="I785" i="25"/>
  <c r="K785" i="25" s="1"/>
  <c r="L785" i="25" s="1"/>
  <c r="F786" i="25" s="1"/>
  <c r="D846" i="36" l="1"/>
  <c r="B846" i="36" s="1"/>
  <c r="E846" i="36"/>
  <c r="F846" i="36" s="1"/>
  <c r="G846" i="36" s="1"/>
  <c r="C847" i="36" s="1"/>
  <c r="G786" i="25"/>
  <c r="I786" i="25"/>
  <c r="K786" i="25" s="1"/>
  <c r="L786" i="25" s="1"/>
  <c r="F787" i="25" s="1"/>
  <c r="D847" i="36" l="1"/>
  <c r="B847" i="36" s="1"/>
  <c r="E847" i="36"/>
  <c r="F847" i="36" s="1"/>
  <c r="G847" i="36" s="1"/>
  <c r="C848" i="36" s="1"/>
  <c r="G787" i="25"/>
  <c r="I787" i="25"/>
  <c r="K787" i="25" s="1"/>
  <c r="L787" i="25" s="1"/>
  <c r="F788" i="25" s="1"/>
  <c r="D848" i="36" l="1"/>
  <c r="B848" i="36" s="1"/>
  <c r="E848" i="36"/>
  <c r="F848" i="36" s="1"/>
  <c r="G848" i="36" s="1"/>
  <c r="C849" i="36" s="1"/>
  <c r="G788" i="25"/>
  <c r="I788" i="25"/>
  <c r="K788" i="25" s="1"/>
  <c r="L788" i="25" s="1"/>
  <c r="F789" i="25" s="1"/>
  <c r="D849" i="36" l="1"/>
  <c r="B849" i="36" s="1"/>
  <c r="E849" i="36"/>
  <c r="F849" i="36" s="1"/>
  <c r="G849" i="36" s="1"/>
  <c r="C850" i="36" s="1"/>
  <c r="G789" i="25"/>
  <c r="I789" i="25"/>
  <c r="K789" i="25" s="1"/>
  <c r="L789" i="25" s="1"/>
  <c r="F790" i="25" s="1"/>
  <c r="D850" i="36" l="1"/>
  <c r="B850" i="36" s="1"/>
  <c r="E850" i="36"/>
  <c r="F850" i="36" s="1"/>
  <c r="G850" i="36" s="1"/>
  <c r="C851" i="36" s="1"/>
  <c r="G790" i="25"/>
  <c r="I790" i="25"/>
  <c r="K790" i="25" s="1"/>
  <c r="L790" i="25" s="1"/>
  <c r="F791" i="25" s="1"/>
  <c r="D851" i="36" l="1"/>
  <c r="B851" i="36" s="1"/>
  <c r="E851" i="36"/>
  <c r="F851" i="36" s="1"/>
  <c r="G851" i="36" s="1"/>
  <c r="C852" i="36" s="1"/>
  <c r="G791" i="25"/>
  <c r="I791" i="25"/>
  <c r="K791" i="25" s="1"/>
  <c r="L791" i="25" s="1"/>
  <c r="F792" i="25" s="1"/>
  <c r="D852" i="36" l="1"/>
  <c r="B852" i="36" s="1"/>
  <c r="E852" i="36"/>
  <c r="F852" i="36" s="1"/>
  <c r="G852" i="36" s="1"/>
  <c r="C853" i="36" s="1"/>
  <c r="G792" i="25"/>
  <c r="I792" i="25"/>
  <c r="K792" i="25" s="1"/>
  <c r="L792" i="25" s="1"/>
  <c r="F793" i="25" s="1"/>
  <c r="D853" i="36" l="1"/>
  <c r="B853" i="36" s="1"/>
  <c r="E853" i="36"/>
  <c r="F853" i="36" s="1"/>
  <c r="G853" i="36" s="1"/>
  <c r="C854" i="36" s="1"/>
  <c r="G793" i="25"/>
  <c r="I793" i="25"/>
  <c r="K793" i="25" s="1"/>
  <c r="L793" i="25" s="1"/>
  <c r="F794" i="25" s="1"/>
  <c r="D854" i="36" l="1"/>
  <c r="B854" i="36" s="1"/>
  <c r="E854" i="36"/>
  <c r="F854" i="36" s="1"/>
  <c r="G854" i="36" s="1"/>
  <c r="C855" i="36" s="1"/>
  <c r="G794" i="25"/>
  <c r="I794" i="25"/>
  <c r="K794" i="25" s="1"/>
  <c r="L794" i="25" s="1"/>
  <c r="F795" i="25" s="1"/>
  <c r="D855" i="36" l="1"/>
  <c r="B855" i="36" s="1"/>
  <c r="E855" i="36"/>
  <c r="F855" i="36" s="1"/>
  <c r="G855" i="36" s="1"/>
  <c r="C856" i="36" s="1"/>
  <c r="G795" i="25"/>
  <c r="I795" i="25"/>
  <c r="K795" i="25" s="1"/>
  <c r="L795" i="25" s="1"/>
  <c r="F796" i="25" s="1"/>
  <c r="D856" i="36" l="1"/>
  <c r="B856" i="36" s="1"/>
  <c r="E856" i="36"/>
  <c r="F856" i="36" s="1"/>
  <c r="G856" i="36" s="1"/>
  <c r="C857" i="36" s="1"/>
  <c r="G796" i="25"/>
  <c r="I796" i="25"/>
  <c r="K796" i="25" s="1"/>
  <c r="L796" i="25" s="1"/>
  <c r="F797" i="25" s="1"/>
  <c r="D857" i="36" l="1"/>
  <c r="B857" i="36" s="1"/>
  <c r="E857" i="36"/>
  <c r="F857" i="36" s="1"/>
  <c r="G857" i="36" s="1"/>
  <c r="C858" i="36" s="1"/>
  <c r="G797" i="25"/>
  <c r="I797" i="25"/>
  <c r="K797" i="25" s="1"/>
  <c r="L797" i="25" s="1"/>
  <c r="F798" i="25" s="1"/>
  <c r="D858" i="36" l="1"/>
  <c r="B858" i="36" s="1"/>
  <c r="E858" i="36"/>
  <c r="F858" i="36" s="1"/>
  <c r="G858" i="36" s="1"/>
  <c r="C859" i="36" s="1"/>
  <c r="G798" i="25"/>
  <c r="I798" i="25"/>
  <c r="K798" i="25" s="1"/>
  <c r="L798" i="25" s="1"/>
  <c r="F799" i="25" s="1"/>
  <c r="D859" i="36" l="1"/>
  <c r="B859" i="36" s="1"/>
  <c r="E859" i="36"/>
  <c r="F859" i="36" s="1"/>
  <c r="G859" i="36" s="1"/>
  <c r="C860" i="36" s="1"/>
  <c r="G799" i="25"/>
  <c r="I799" i="25"/>
  <c r="K799" i="25" s="1"/>
  <c r="L799" i="25" s="1"/>
  <c r="F800" i="25" s="1"/>
  <c r="D860" i="36" l="1"/>
  <c r="E860" i="36"/>
  <c r="F860" i="36" s="1"/>
  <c r="G860" i="36" s="1"/>
  <c r="C861" i="36" s="1"/>
  <c r="G800" i="25"/>
  <c r="I800" i="25"/>
  <c r="K800" i="25" s="1"/>
  <c r="L800" i="25" s="1"/>
  <c r="F801" i="25" s="1"/>
  <c r="B860" i="36" l="1"/>
  <c r="D861" i="36"/>
  <c r="B861" i="36" s="1"/>
  <c r="E861" i="36"/>
  <c r="F861" i="36" s="1"/>
  <c r="G861" i="36" s="1"/>
  <c r="C862" i="36" s="1"/>
  <c r="G801" i="25"/>
  <c r="I801" i="25"/>
  <c r="K801" i="25" s="1"/>
  <c r="L801" i="25" s="1"/>
  <c r="F802" i="25" s="1"/>
  <c r="D862" i="36" l="1"/>
  <c r="B862" i="36" s="1"/>
  <c r="E862" i="36"/>
  <c r="F862" i="36" s="1"/>
  <c r="G862" i="36" s="1"/>
  <c r="C863" i="36" s="1"/>
  <c r="G802" i="25"/>
  <c r="I802" i="25"/>
  <c r="K802" i="25" s="1"/>
  <c r="L802" i="25" s="1"/>
  <c r="F803" i="25" s="1"/>
  <c r="D863" i="36" l="1"/>
  <c r="B863" i="36" s="1"/>
  <c r="E863" i="36"/>
  <c r="F863" i="36" s="1"/>
  <c r="G863" i="36" s="1"/>
  <c r="C864" i="36" s="1"/>
  <c r="G803" i="25"/>
  <c r="I803" i="25"/>
  <c r="K803" i="25" s="1"/>
  <c r="L803" i="25" s="1"/>
  <c r="F804" i="25" s="1"/>
  <c r="D864" i="36" l="1"/>
  <c r="B864" i="36" s="1"/>
  <c r="E864" i="36"/>
  <c r="F864" i="36" s="1"/>
  <c r="G864" i="36" s="1"/>
  <c r="C865" i="36" s="1"/>
  <c r="G804" i="25"/>
  <c r="I804" i="25"/>
  <c r="K804" i="25" s="1"/>
  <c r="L804" i="25" s="1"/>
  <c r="F805" i="25" s="1"/>
  <c r="D865" i="36" l="1"/>
  <c r="B865" i="36" s="1"/>
  <c r="E865" i="36"/>
  <c r="F865" i="36" s="1"/>
  <c r="G865" i="36" s="1"/>
  <c r="C866" i="36" s="1"/>
  <c r="G805" i="25"/>
  <c r="I805" i="25"/>
  <c r="K805" i="25" s="1"/>
  <c r="L805" i="25" s="1"/>
  <c r="F806" i="25" s="1"/>
  <c r="D866" i="36" l="1"/>
  <c r="B866" i="36" s="1"/>
  <c r="E866" i="36"/>
  <c r="F866" i="36" s="1"/>
  <c r="G866" i="36" s="1"/>
  <c r="C867" i="36" s="1"/>
  <c r="G806" i="25"/>
  <c r="I806" i="25"/>
  <c r="K806" i="25" s="1"/>
  <c r="L806" i="25" s="1"/>
  <c r="F807" i="25" s="1"/>
  <c r="D867" i="36" l="1"/>
  <c r="B867" i="36" s="1"/>
  <c r="E867" i="36"/>
  <c r="F867" i="36" s="1"/>
  <c r="G867" i="36" s="1"/>
  <c r="C868" i="36" s="1"/>
  <c r="G807" i="25"/>
  <c r="I807" i="25"/>
  <c r="K807" i="25" s="1"/>
  <c r="L807" i="25" s="1"/>
  <c r="F808" i="25" s="1"/>
  <c r="D868" i="36" l="1"/>
  <c r="B868" i="36" s="1"/>
  <c r="E868" i="36"/>
  <c r="F868" i="36" s="1"/>
  <c r="G868" i="36" s="1"/>
  <c r="C869" i="36" s="1"/>
  <c r="G808" i="25"/>
  <c r="I808" i="25"/>
  <c r="K808" i="25" s="1"/>
  <c r="L808" i="25" s="1"/>
  <c r="F809" i="25" s="1"/>
  <c r="D869" i="36" l="1"/>
  <c r="B869" i="36" s="1"/>
  <c r="E869" i="36"/>
  <c r="F869" i="36" s="1"/>
  <c r="G869" i="36" s="1"/>
  <c r="C870" i="36" s="1"/>
  <c r="G809" i="25"/>
  <c r="I809" i="25"/>
  <c r="K809" i="25" s="1"/>
  <c r="L809" i="25" s="1"/>
  <c r="F810" i="25" s="1"/>
  <c r="E870" i="36" l="1"/>
  <c r="F870" i="36" s="1"/>
  <c r="G870" i="36" s="1"/>
  <c r="C871" i="36" s="1"/>
  <c r="D870" i="36"/>
  <c r="B870" i="36" s="1"/>
  <c r="G810" i="25"/>
  <c r="I810" i="25"/>
  <c r="K810" i="25" s="1"/>
  <c r="L810" i="25" s="1"/>
  <c r="F811" i="25" s="1"/>
  <c r="D871" i="36" l="1"/>
  <c r="B871" i="36" s="1"/>
  <c r="E871" i="36"/>
  <c r="F871" i="36" s="1"/>
  <c r="G871" i="36" s="1"/>
  <c r="C872" i="36" s="1"/>
  <c r="G811" i="25"/>
  <c r="I811" i="25"/>
  <c r="K811" i="25" s="1"/>
  <c r="L811" i="25" s="1"/>
  <c r="F812" i="25" s="1"/>
  <c r="E872" i="36" l="1"/>
  <c r="F872" i="36" s="1"/>
  <c r="G872" i="36" s="1"/>
  <c r="C873" i="36" s="1"/>
  <c r="D872" i="36"/>
  <c r="B872" i="36" s="1"/>
  <c r="G812" i="25"/>
  <c r="I812" i="25"/>
  <c r="K812" i="25" s="1"/>
  <c r="L812" i="25" s="1"/>
  <c r="F813" i="25" s="1"/>
  <c r="D873" i="36" l="1"/>
  <c r="B873" i="36" s="1"/>
  <c r="E873" i="36"/>
  <c r="F873" i="36" s="1"/>
  <c r="G873" i="36" s="1"/>
  <c r="C874" i="36" s="1"/>
  <c r="G813" i="25"/>
  <c r="I813" i="25"/>
  <c r="K813" i="25" s="1"/>
  <c r="L813" i="25" s="1"/>
  <c r="F814" i="25" s="1"/>
  <c r="D874" i="36" l="1"/>
  <c r="B874" i="36" s="1"/>
  <c r="E874" i="36"/>
  <c r="F874" i="36" s="1"/>
  <c r="G874" i="36" s="1"/>
  <c r="C875" i="36" s="1"/>
  <c r="G814" i="25"/>
  <c r="I814" i="25"/>
  <c r="K814" i="25" s="1"/>
  <c r="L814" i="25" s="1"/>
  <c r="F815" i="25" s="1"/>
  <c r="D875" i="36" l="1"/>
  <c r="B875" i="36" s="1"/>
  <c r="E875" i="36"/>
  <c r="F875" i="36" s="1"/>
  <c r="G875" i="36" s="1"/>
  <c r="C876" i="36" s="1"/>
  <c r="G815" i="25"/>
  <c r="I815" i="25"/>
  <c r="K815" i="25" s="1"/>
  <c r="L815" i="25" s="1"/>
  <c r="F816" i="25" s="1"/>
  <c r="E876" i="36" l="1"/>
  <c r="F876" i="36" s="1"/>
  <c r="G876" i="36" s="1"/>
  <c r="C877" i="36" s="1"/>
  <c r="D876" i="36"/>
  <c r="B876" i="36" s="1"/>
  <c r="G816" i="25"/>
  <c r="I816" i="25"/>
  <c r="K816" i="25" s="1"/>
  <c r="L816" i="25" s="1"/>
  <c r="F817" i="25" s="1"/>
  <c r="D877" i="36" l="1"/>
  <c r="B877" i="36" s="1"/>
  <c r="E877" i="36"/>
  <c r="F877" i="36" s="1"/>
  <c r="G877" i="36" s="1"/>
  <c r="C878" i="36" s="1"/>
  <c r="G817" i="25"/>
  <c r="I817" i="25"/>
  <c r="K817" i="25" s="1"/>
  <c r="L817" i="25" s="1"/>
  <c r="F818" i="25" s="1"/>
  <c r="D878" i="36" l="1"/>
  <c r="B878" i="36" s="1"/>
  <c r="E878" i="36"/>
  <c r="F878" i="36" s="1"/>
  <c r="G878" i="36" s="1"/>
  <c r="C879" i="36" s="1"/>
  <c r="G818" i="25"/>
  <c r="I818" i="25"/>
  <c r="K818" i="25" s="1"/>
  <c r="L818" i="25" s="1"/>
  <c r="F819" i="25" s="1"/>
  <c r="D879" i="36" l="1"/>
  <c r="B879" i="36" s="1"/>
  <c r="E879" i="36"/>
  <c r="F879" i="36" s="1"/>
  <c r="G879" i="36" s="1"/>
  <c r="C880" i="36" s="1"/>
  <c r="G819" i="25"/>
  <c r="I819" i="25"/>
  <c r="K819" i="25" s="1"/>
  <c r="L819" i="25" s="1"/>
  <c r="F820" i="25" s="1"/>
  <c r="D880" i="36" l="1"/>
  <c r="B880" i="36" s="1"/>
  <c r="E880" i="36"/>
  <c r="F880" i="36" s="1"/>
  <c r="G880" i="36" s="1"/>
  <c r="C881" i="36" s="1"/>
  <c r="G820" i="25"/>
  <c r="I820" i="25"/>
  <c r="K820" i="25" s="1"/>
  <c r="L820" i="25" s="1"/>
  <c r="F821" i="25" s="1"/>
  <c r="D881" i="36" l="1"/>
  <c r="B881" i="36" s="1"/>
  <c r="E881" i="36"/>
  <c r="F881" i="36" s="1"/>
  <c r="G881" i="36" s="1"/>
  <c r="C882" i="36" s="1"/>
  <c r="G821" i="25"/>
  <c r="I821" i="25"/>
  <c r="K821" i="25" s="1"/>
  <c r="L821" i="25" s="1"/>
  <c r="F822" i="25" s="1"/>
  <c r="E882" i="36" l="1"/>
  <c r="F882" i="36" s="1"/>
  <c r="G882" i="36" s="1"/>
  <c r="C883" i="36" s="1"/>
  <c r="D882" i="36"/>
  <c r="B882" i="36" s="1"/>
  <c r="G822" i="25"/>
  <c r="I822" i="25"/>
  <c r="K822" i="25" s="1"/>
  <c r="L822" i="25" s="1"/>
  <c r="F823" i="25" s="1"/>
  <c r="D883" i="36" l="1"/>
  <c r="B883" i="36" s="1"/>
  <c r="E883" i="36"/>
  <c r="F883" i="36" s="1"/>
  <c r="G883" i="36" s="1"/>
  <c r="C884" i="36" s="1"/>
  <c r="G823" i="25"/>
  <c r="I823" i="25"/>
  <c r="K823" i="25" s="1"/>
  <c r="L823" i="25" s="1"/>
  <c r="F824" i="25" s="1"/>
  <c r="D884" i="36" l="1"/>
  <c r="B884" i="36" s="1"/>
  <c r="E884" i="36"/>
  <c r="F884" i="36" s="1"/>
  <c r="G884" i="36" s="1"/>
  <c r="C885" i="36" s="1"/>
  <c r="G824" i="25"/>
  <c r="I824" i="25"/>
  <c r="K824" i="25" s="1"/>
  <c r="L824" i="25" s="1"/>
  <c r="F825" i="25" s="1"/>
  <c r="D885" i="36" l="1"/>
  <c r="B885" i="36" s="1"/>
  <c r="E885" i="36"/>
  <c r="F885" i="36" s="1"/>
  <c r="G885" i="36" s="1"/>
  <c r="C886" i="36" s="1"/>
  <c r="G825" i="25"/>
  <c r="I825" i="25"/>
  <c r="K825" i="25" s="1"/>
  <c r="L825" i="25" s="1"/>
  <c r="F826" i="25" s="1"/>
  <c r="D886" i="36" l="1"/>
  <c r="B886" i="36" s="1"/>
  <c r="E886" i="36"/>
  <c r="F886" i="36" s="1"/>
  <c r="G886" i="36" s="1"/>
  <c r="C887" i="36" s="1"/>
  <c r="G826" i="25"/>
  <c r="I826" i="25"/>
  <c r="K826" i="25" s="1"/>
  <c r="L826" i="25" s="1"/>
  <c r="F827" i="25" s="1"/>
  <c r="E887" i="36" l="1"/>
  <c r="F887" i="36" s="1"/>
  <c r="G887" i="36" s="1"/>
  <c r="C888" i="36" s="1"/>
  <c r="D887" i="36"/>
  <c r="B887" i="36" s="1"/>
  <c r="G827" i="25"/>
  <c r="I827" i="25"/>
  <c r="K827" i="25" s="1"/>
  <c r="L827" i="25" s="1"/>
  <c r="F828" i="25" s="1"/>
  <c r="D888" i="36" l="1"/>
  <c r="E888" i="36"/>
  <c r="F888" i="36" s="1"/>
  <c r="G888" i="36" s="1"/>
  <c r="C889" i="36" s="1"/>
  <c r="G828" i="25"/>
  <c r="I828" i="25"/>
  <c r="K828" i="25" s="1"/>
  <c r="L828" i="25" s="1"/>
  <c r="F829" i="25" s="1"/>
  <c r="B888" i="36" l="1"/>
  <c r="E889" i="36"/>
  <c r="F889" i="36" s="1"/>
  <c r="G889" i="36" s="1"/>
  <c r="C890" i="36" s="1"/>
  <c r="D889" i="36"/>
  <c r="B889" i="36" s="1"/>
  <c r="G829" i="25"/>
  <c r="I829" i="25"/>
  <c r="K829" i="25" s="1"/>
  <c r="L829" i="25" s="1"/>
  <c r="F830" i="25" s="1"/>
  <c r="E890" i="36" l="1"/>
  <c r="F890" i="36" s="1"/>
  <c r="G890" i="36" s="1"/>
  <c r="C891" i="36" s="1"/>
  <c r="D890" i="36"/>
  <c r="B890" i="36" s="1"/>
  <c r="G830" i="25"/>
  <c r="I830" i="25"/>
  <c r="K830" i="25" s="1"/>
  <c r="L830" i="25" s="1"/>
  <c r="F831" i="25" s="1"/>
  <c r="E891" i="36" l="1"/>
  <c r="F891" i="36" s="1"/>
  <c r="G891" i="36" s="1"/>
  <c r="C892" i="36" s="1"/>
  <c r="D891" i="36"/>
  <c r="B891" i="36" s="1"/>
  <c r="G831" i="25"/>
  <c r="I831" i="25"/>
  <c r="K831" i="25" s="1"/>
  <c r="L831" i="25" s="1"/>
  <c r="F832" i="25" s="1"/>
  <c r="E892" i="36" l="1"/>
  <c r="F892" i="36" s="1"/>
  <c r="G892" i="36" s="1"/>
  <c r="C893" i="36" s="1"/>
  <c r="D892" i="36"/>
  <c r="B892" i="36" s="1"/>
  <c r="G832" i="25"/>
  <c r="I832" i="25"/>
  <c r="K832" i="25" s="1"/>
  <c r="L832" i="25" s="1"/>
  <c r="F833" i="25" s="1"/>
  <c r="E893" i="36" l="1"/>
  <c r="F893" i="36" s="1"/>
  <c r="G893" i="36" s="1"/>
  <c r="C894" i="36" s="1"/>
  <c r="D893" i="36"/>
  <c r="B893" i="36" s="1"/>
  <c r="G833" i="25"/>
  <c r="I833" i="25"/>
  <c r="K833" i="25" s="1"/>
  <c r="L833" i="25" s="1"/>
  <c r="F834" i="25" s="1"/>
  <c r="E894" i="36" l="1"/>
  <c r="F894" i="36" s="1"/>
  <c r="G894" i="36" s="1"/>
  <c r="C895" i="36" s="1"/>
  <c r="D894" i="36"/>
  <c r="B894" i="36" s="1"/>
  <c r="G834" i="25"/>
  <c r="I834" i="25"/>
  <c r="K834" i="25" s="1"/>
  <c r="L834" i="25" s="1"/>
  <c r="F835" i="25" s="1"/>
  <c r="E895" i="36" l="1"/>
  <c r="F895" i="36" s="1"/>
  <c r="G895" i="36" s="1"/>
  <c r="C896" i="36" s="1"/>
  <c r="D895" i="36"/>
  <c r="B895" i="36" s="1"/>
  <c r="G835" i="25"/>
  <c r="I835" i="25"/>
  <c r="K835" i="25" s="1"/>
  <c r="L835" i="25" s="1"/>
  <c r="F836" i="25" s="1"/>
  <c r="D896" i="36" l="1"/>
  <c r="B896" i="36" s="1"/>
  <c r="E896" i="36"/>
  <c r="F896" i="36" s="1"/>
  <c r="G896" i="36" s="1"/>
  <c r="C897" i="36" s="1"/>
  <c r="G836" i="25"/>
  <c r="I836" i="25"/>
  <c r="K836" i="25" s="1"/>
  <c r="L836" i="25" s="1"/>
  <c r="F837" i="25" s="1"/>
  <c r="D897" i="36" l="1"/>
  <c r="B897" i="36" s="1"/>
  <c r="E897" i="36"/>
  <c r="F897" i="36" s="1"/>
  <c r="G897" i="36" s="1"/>
  <c r="C898" i="36" s="1"/>
  <c r="G837" i="25"/>
  <c r="I837" i="25"/>
  <c r="K837" i="25" s="1"/>
  <c r="L837" i="25" s="1"/>
  <c r="F838" i="25" s="1"/>
  <c r="D898" i="36" l="1"/>
  <c r="B898" i="36" s="1"/>
  <c r="E898" i="36"/>
  <c r="F898" i="36" s="1"/>
  <c r="G898" i="36" s="1"/>
  <c r="C899" i="36" s="1"/>
  <c r="G838" i="25"/>
  <c r="I838" i="25"/>
  <c r="K838" i="25" s="1"/>
  <c r="L838" i="25" s="1"/>
  <c r="F839" i="25" s="1"/>
  <c r="D899" i="36" l="1"/>
  <c r="B899" i="36" s="1"/>
  <c r="E899" i="36"/>
  <c r="F899" i="36" s="1"/>
  <c r="G899" i="36" s="1"/>
  <c r="C900" i="36" s="1"/>
  <c r="G839" i="25"/>
  <c r="I839" i="25"/>
  <c r="K839" i="25" s="1"/>
  <c r="L839" i="25" s="1"/>
  <c r="F840" i="25" s="1"/>
  <c r="E900" i="36" l="1"/>
  <c r="F900" i="36" s="1"/>
  <c r="G900" i="36" s="1"/>
  <c r="C901" i="36" s="1"/>
  <c r="D900" i="36"/>
  <c r="B900" i="36" s="1"/>
  <c r="G840" i="25"/>
  <c r="I840" i="25"/>
  <c r="K840" i="25" s="1"/>
  <c r="L840" i="25" s="1"/>
  <c r="F841" i="25" s="1"/>
  <c r="D901" i="36" l="1"/>
  <c r="B901" i="36" s="1"/>
  <c r="E901" i="36"/>
  <c r="F901" i="36" s="1"/>
  <c r="G901" i="36" s="1"/>
  <c r="C902" i="36" s="1"/>
  <c r="G841" i="25"/>
  <c r="I841" i="25"/>
  <c r="K841" i="25" s="1"/>
  <c r="L841" i="25" s="1"/>
  <c r="F842" i="25" s="1"/>
  <c r="D902" i="36" l="1"/>
  <c r="B902" i="36" s="1"/>
  <c r="E902" i="36"/>
  <c r="F902" i="36" s="1"/>
  <c r="G902" i="36" s="1"/>
  <c r="C903" i="36" s="1"/>
  <c r="G842" i="25"/>
  <c r="I842" i="25"/>
  <c r="K842" i="25" s="1"/>
  <c r="L842" i="25" s="1"/>
  <c r="F843" i="25" s="1"/>
  <c r="D903" i="36" l="1"/>
  <c r="B903" i="36" s="1"/>
  <c r="E903" i="36"/>
  <c r="F903" i="36" s="1"/>
  <c r="G903" i="36" s="1"/>
  <c r="C904" i="36" s="1"/>
  <c r="G843" i="25"/>
  <c r="I843" i="25"/>
  <c r="K843" i="25" s="1"/>
  <c r="L843" i="25" s="1"/>
  <c r="F844" i="25" s="1"/>
  <c r="D904" i="36" l="1"/>
  <c r="B904" i="36" s="1"/>
  <c r="E904" i="36"/>
  <c r="F904" i="36" s="1"/>
  <c r="G904" i="36" s="1"/>
  <c r="C905" i="36" s="1"/>
  <c r="G844" i="25"/>
  <c r="I844" i="25"/>
  <c r="K844" i="25" s="1"/>
  <c r="L844" i="25" s="1"/>
  <c r="F845" i="25" s="1"/>
  <c r="D905" i="36" l="1"/>
  <c r="B905" i="36" s="1"/>
  <c r="E905" i="36"/>
  <c r="F905" i="36" s="1"/>
  <c r="G905" i="36" s="1"/>
  <c r="C906" i="36" s="1"/>
  <c r="G845" i="25"/>
  <c r="I845" i="25"/>
  <c r="K845" i="25" s="1"/>
  <c r="L845" i="25" s="1"/>
  <c r="F846" i="25" s="1"/>
  <c r="D906" i="36" l="1"/>
  <c r="B906" i="36" s="1"/>
  <c r="E906" i="36"/>
  <c r="F906" i="36" s="1"/>
  <c r="G906" i="36" s="1"/>
  <c r="C907" i="36" s="1"/>
  <c r="G846" i="25"/>
  <c r="I846" i="25"/>
  <c r="K846" i="25" s="1"/>
  <c r="L846" i="25" s="1"/>
  <c r="F847" i="25" s="1"/>
  <c r="D907" i="36" l="1"/>
  <c r="B907" i="36" s="1"/>
  <c r="E907" i="36"/>
  <c r="F907" i="36" s="1"/>
  <c r="G907" i="36" s="1"/>
  <c r="C908" i="36" s="1"/>
  <c r="G847" i="25"/>
  <c r="I847" i="25"/>
  <c r="K847" i="25" s="1"/>
  <c r="L847" i="25" s="1"/>
  <c r="F848" i="25" s="1"/>
  <c r="D908" i="36" l="1"/>
  <c r="B908" i="36" s="1"/>
  <c r="E908" i="36"/>
  <c r="F908" i="36" s="1"/>
  <c r="G908" i="36" s="1"/>
  <c r="C909" i="36" s="1"/>
  <c r="G848" i="25"/>
  <c r="I848" i="25"/>
  <c r="K848" i="25" s="1"/>
  <c r="L848" i="25" s="1"/>
  <c r="F849" i="25" s="1"/>
  <c r="E909" i="36" l="1"/>
  <c r="F909" i="36" s="1"/>
  <c r="G909" i="36" s="1"/>
  <c r="C910" i="36" s="1"/>
  <c r="D909" i="36"/>
  <c r="B909" i="36" s="1"/>
  <c r="G849" i="25"/>
  <c r="I849" i="25"/>
  <c r="K849" i="25" s="1"/>
  <c r="L849" i="25" s="1"/>
  <c r="F850" i="25" s="1"/>
  <c r="E910" i="36" l="1"/>
  <c r="F910" i="36" s="1"/>
  <c r="G910" i="36" s="1"/>
  <c r="C911" i="36" s="1"/>
  <c r="D910" i="36"/>
  <c r="B910" i="36" s="1"/>
  <c r="G850" i="25"/>
  <c r="I850" i="25"/>
  <c r="K850" i="25" s="1"/>
  <c r="L850" i="25" s="1"/>
  <c r="F851" i="25" s="1"/>
  <c r="E911" i="36" l="1"/>
  <c r="F911" i="36" s="1"/>
  <c r="G911" i="36" s="1"/>
  <c r="C912" i="36" s="1"/>
  <c r="D911" i="36"/>
  <c r="B911" i="36" s="1"/>
  <c r="G851" i="25"/>
  <c r="I851" i="25"/>
  <c r="K851" i="25" s="1"/>
  <c r="L851" i="25" s="1"/>
  <c r="F852" i="25" s="1"/>
  <c r="E912" i="36" l="1"/>
  <c r="F912" i="36" s="1"/>
  <c r="G912" i="36" s="1"/>
  <c r="C913" i="36" s="1"/>
  <c r="D912" i="36"/>
  <c r="B912" i="36" s="1"/>
  <c r="G852" i="25"/>
  <c r="I852" i="25"/>
  <c r="K852" i="25" s="1"/>
  <c r="L852" i="25" s="1"/>
  <c r="F853" i="25" s="1"/>
  <c r="E913" i="36" l="1"/>
  <c r="F913" i="36" s="1"/>
  <c r="G913" i="36" s="1"/>
  <c r="C914" i="36" s="1"/>
  <c r="D913" i="36"/>
  <c r="B913" i="36" s="1"/>
  <c r="G853" i="25"/>
  <c r="I853" i="25"/>
  <c r="K853" i="25" s="1"/>
  <c r="L853" i="25" s="1"/>
  <c r="F854" i="25" s="1"/>
  <c r="E914" i="36" l="1"/>
  <c r="F914" i="36" s="1"/>
  <c r="G914" i="36" s="1"/>
  <c r="C915" i="36" s="1"/>
  <c r="D914" i="36"/>
  <c r="B914" i="36" s="1"/>
  <c r="G854" i="25"/>
  <c r="I854" i="25"/>
  <c r="K854" i="25" s="1"/>
  <c r="L854" i="25" s="1"/>
  <c r="F855" i="25" s="1"/>
  <c r="E915" i="36" l="1"/>
  <c r="F915" i="36" s="1"/>
  <c r="G915" i="36" s="1"/>
  <c r="C916" i="36" s="1"/>
  <c r="D915" i="36"/>
  <c r="B915" i="36" s="1"/>
  <c r="G855" i="25"/>
  <c r="I855" i="25"/>
  <c r="K855" i="25" s="1"/>
  <c r="L855" i="25" s="1"/>
  <c r="F856" i="25" s="1"/>
  <c r="E916" i="36" l="1"/>
  <c r="D916" i="36"/>
  <c r="G11" i="36" s="1"/>
  <c r="G856" i="25"/>
  <c r="I856" i="25"/>
  <c r="K856" i="25" s="1"/>
  <c r="L856" i="25" s="1"/>
  <c r="F857" i="25" s="1"/>
  <c r="G12" i="36" l="1"/>
  <c r="B916" i="36"/>
  <c r="F916" i="36"/>
  <c r="G916" i="36" s="1"/>
  <c r="G857" i="25"/>
  <c r="I857" i="25"/>
  <c r="K857" i="25" s="1"/>
  <c r="L857" i="25" s="1"/>
  <c r="F858" i="25" s="1"/>
  <c r="G858" i="25" l="1"/>
  <c r="I858" i="25"/>
  <c r="K858" i="25" s="1"/>
  <c r="L858" i="25" s="1"/>
  <c r="F859" i="25" s="1"/>
  <c r="G859" i="25" l="1"/>
  <c r="I859" i="25"/>
  <c r="K859" i="25" s="1"/>
  <c r="L859" i="25" s="1"/>
  <c r="F860" i="25" s="1"/>
  <c r="G860" i="25" l="1"/>
  <c r="I860" i="25"/>
  <c r="K860" i="25" s="1"/>
  <c r="L860" i="25" s="1"/>
  <c r="F861" i="25" s="1"/>
  <c r="G861" i="25" l="1"/>
  <c r="I861" i="25"/>
  <c r="K861" i="25" s="1"/>
  <c r="L861" i="25" s="1"/>
  <c r="F862" i="25" s="1"/>
  <c r="G862" i="25" l="1"/>
  <c r="I862" i="25"/>
  <c r="K862" i="25" s="1"/>
  <c r="L862" i="25" s="1"/>
  <c r="F863" i="25" s="1"/>
  <c r="G863" i="25" l="1"/>
  <c r="I863" i="25"/>
  <c r="K863" i="25" s="1"/>
  <c r="L863" i="25" s="1"/>
  <c r="F864" i="25" s="1"/>
  <c r="G864" i="25" l="1"/>
  <c r="I864" i="25"/>
  <c r="K864" i="25" s="1"/>
  <c r="L864" i="25" s="1"/>
  <c r="F865" i="25" s="1"/>
  <c r="G865" i="25" l="1"/>
  <c r="I865" i="25"/>
  <c r="K865" i="25" s="1"/>
  <c r="L865" i="25" s="1"/>
  <c r="F866" i="25" s="1"/>
  <c r="G866" i="25" l="1"/>
  <c r="I866" i="25"/>
  <c r="K866" i="25" s="1"/>
  <c r="L866" i="25" s="1"/>
  <c r="F867" i="25" s="1"/>
  <c r="G867" i="25" l="1"/>
  <c r="I867" i="25"/>
  <c r="K867" i="25" s="1"/>
  <c r="L867" i="25" s="1"/>
  <c r="F868" i="25" s="1"/>
  <c r="G868" i="25" l="1"/>
  <c r="I868" i="25"/>
  <c r="K868" i="25" s="1"/>
  <c r="L868" i="25" s="1"/>
  <c r="F869" i="25" s="1"/>
  <c r="G869" i="25" l="1"/>
  <c r="I869" i="25"/>
  <c r="K869" i="25" s="1"/>
  <c r="L869" i="25" s="1"/>
  <c r="F870" i="25" s="1"/>
  <c r="G870" i="25" l="1"/>
  <c r="I870" i="25"/>
  <c r="K870" i="25" s="1"/>
  <c r="L870" i="25" s="1"/>
  <c r="F871" i="25" s="1"/>
  <c r="G871" i="25" l="1"/>
  <c r="I871" i="25"/>
  <c r="K871" i="25" s="1"/>
  <c r="L871" i="25" s="1"/>
  <c r="F872" i="25" s="1"/>
  <c r="G872" i="25" l="1"/>
  <c r="I872" i="25"/>
  <c r="K872" i="25" s="1"/>
  <c r="L872" i="25" s="1"/>
  <c r="F873" i="25" s="1"/>
  <c r="G873" i="25" l="1"/>
  <c r="I873" i="25"/>
  <c r="K873" i="25" s="1"/>
  <c r="L873" i="25" s="1"/>
  <c r="F874" i="25" s="1"/>
  <c r="G874" i="25" l="1"/>
  <c r="I874" i="25"/>
  <c r="K874" i="25" s="1"/>
  <c r="L874" i="25" s="1"/>
  <c r="F875" i="25" s="1"/>
  <c r="G875" i="25" l="1"/>
  <c r="I875" i="25"/>
  <c r="K875" i="25" s="1"/>
  <c r="L875" i="25" s="1"/>
  <c r="F876" i="25" s="1"/>
  <c r="G876" i="25" l="1"/>
  <c r="I876" i="25"/>
  <c r="K876" i="25" s="1"/>
  <c r="L876" i="25" s="1"/>
  <c r="F877" i="25" s="1"/>
  <c r="G877" i="25" l="1"/>
  <c r="I877" i="25"/>
  <c r="K877" i="25" s="1"/>
  <c r="L877" i="25" s="1"/>
  <c r="F878" i="25" s="1"/>
  <c r="G878" i="25" l="1"/>
  <c r="I878" i="25"/>
  <c r="K878" i="25" s="1"/>
  <c r="L878" i="25" s="1"/>
  <c r="F879" i="25" s="1"/>
  <c r="G879" i="25" l="1"/>
  <c r="I879" i="25"/>
  <c r="K879" i="25" s="1"/>
  <c r="L879" i="25" s="1"/>
  <c r="F880" i="25" s="1"/>
  <c r="G880" i="25" l="1"/>
  <c r="I880" i="25"/>
  <c r="K880" i="25" s="1"/>
  <c r="L880" i="25" s="1"/>
  <c r="F881" i="25" s="1"/>
  <c r="G881" i="25" l="1"/>
  <c r="I881" i="25"/>
  <c r="K881" i="25" s="1"/>
  <c r="L881" i="25" s="1"/>
  <c r="F882" i="25" s="1"/>
  <c r="G882" i="25" l="1"/>
  <c r="I882" i="25"/>
  <c r="K882" i="25" s="1"/>
  <c r="L882" i="25" s="1"/>
  <c r="F883" i="25" s="1"/>
  <c r="G883" i="25" l="1"/>
  <c r="I883" i="25"/>
  <c r="K883" i="25" s="1"/>
  <c r="L883" i="25" s="1"/>
  <c r="F884" i="25" s="1"/>
  <c r="G884" i="25" l="1"/>
  <c r="I884" i="25"/>
  <c r="K884" i="25" s="1"/>
  <c r="L884" i="25" s="1"/>
  <c r="F885" i="25" s="1"/>
  <c r="G885" i="25" l="1"/>
  <c r="I885" i="25"/>
  <c r="K885" i="25" s="1"/>
  <c r="L885" i="25" s="1"/>
  <c r="F886" i="25" s="1"/>
  <c r="G886" i="25" l="1"/>
  <c r="I886" i="25"/>
  <c r="K886" i="25" s="1"/>
  <c r="L886" i="25" s="1"/>
  <c r="F887" i="25" s="1"/>
  <c r="G887" i="25" l="1"/>
  <c r="I887" i="25"/>
  <c r="K887" i="25" s="1"/>
  <c r="L887" i="25" s="1"/>
  <c r="F888" i="25" s="1"/>
  <c r="G888" i="25" l="1"/>
  <c r="I888" i="25"/>
  <c r="K888" i="25" s="1"/>
  <c r="L888" i="25" s="1"/>
  <c r="F889" i="25" s="1"/>
  <c r="G889" i="25" l="1"/>
  <c r="I889" i="25"/>
  <c r="K889" i="25" s="1"/>
  <c r="L889" i="25" s="1"/>
  <c r="F890" i="25" s="1"/>
  <c r="G890" i="25" l="1"/>
  <c r="I890" i="25"/>
  <c r="K890" i="25" s="1"/>
  <c r="L890" i="25" s="1"/>
  <c r="F891" i="25" s="1"/>
  <c r="G891" i="25" l="1"/>
  <c r="I891" i="25"/>
  <c r="K891" i="25" s="1"/>
  <c r="L891" i="25" s="1"/>
  <c r="F892" i="25" s="1"/>
  <c r="G892" i="25" l="1"/>
  <c r="I892" i="25"/>
  <c r="K892" i="25" s="1"/>
  <c r="L892" i="25" s="1"/>
  <c r="F893" i="25" s="1"/>
  <c r="G893" i="25" l="1"/>
  <c r="I893" i="25"/>
  <c r="K893" i="25" s="1"/>
  <c r="L893" i="25" s="1"/>
  <c r="F894" i="25" s="1"/>
  <c r="G894" i="25" l="1"/>
  <c r="I894" i="25"/>
  <c r="K894" i="25" s="1"/>
  <c r="L894" i="25" s="1"/>
  <c r="F895" i="25" s="1"/>
  <c r="G895" i="25" l="1"/>
  <c r="I895" i="25"/>
  <c r="K895" i="25" s="1"/>
  <c r="L895" i="25" s="1"/>
  <c r="F896" i="25" s="1"/>
  <c r="G896" i="25" l="1"/>
  <c r="I896" i="25"/>
  <c r="K896" i="25" s="1"/>
  <c r="L896" i="25" s="1"/>
  <c r="F897" i="25" s="1"/>
  <c r="G897" i="25" l="1"/>
  <c r="I897" i="25"/>
  <c r="K897" i="25" s="1"/>
  <c r="L897" i="25" s="1"/>
  <c r="F898" i="25" s="1"/>
  <c r="G898" i="25" l="1"/>
  <c r="I898" i="25"/>
  <c r="K898" i="25" s="1"/>
  <c r="L898" i="25" s="1"/>
  <c r="F899" i="25" s="1"/>
  <c r="G899" i="25" l="1"/>
  <c r="I899" i="25"/>
  <c r="K899" i="25" s="1"/>
  <c r="L899" i="25" s="1"/>
  <c r="F900" i="25" s="1"/>
  <c r="G900" i="25" l="1"/>
  <c r="I900" i="25"/>
  <c r="K900" i="25" s="1"/>
  <c r="L900" i="25" s="1"/>
  <c r="F901" i="25" s="1"/>
  <c r="G901" i="25" l="1"/>
  <c r="I901" i="25"/>
  <c r="K901" i="25" s="1"/>
  <c r="L901" i="25" s="1"/>
  <c r="F902" i="25" s="1"/>
  <c r="G902" i="25" l="1"/>
  <c r="I902" i="25"/>
  <c r="K902" i="25" s="1"/>
  <c r="L902" i="25" s="1"/>
  <c r="F903" i="25" s="1"/>
  <c r="G903" i="25" l="1"/>
  <c r="I903" i="25"/>
  <c r="K903" i="25" s="1"/>
  <c r="L903" i="25" s="1"/>
  <c r="F904" i="25" s="1"/>
  <c r="G904" i="25" l="1"/>
  <c r="I904" i="25"/>
  <c r="K904" i="25" s="1"/>
  <c r="L904" i="25" s="1"/>
  <c r="F905" i="25" s="1"/>
  <c r="G905" i="25" l="1"/>
  <c r="I905" i="25"/>
  <c r="K905" i="25" s="1"/>
  <c r="L905" i="25" s="1"/>
  <c r="F906" i="25" s="1"/>
  <c r="G906" i="25" l="1"/>
  <c r="I906" i="25"/>
  <c r="K906" i="25" s="1"/>
  <c r="L906" i="25" s="1"/>
  <c r="F907" i="25" s="1"/>
  <c r="G907" i="25" l="1"/>
  <c r="I907" i="25"/>
  <c r="K907" i="25" s="1"/>
  <c r="L907" i="25" s="1"/>
  <c r="F908" i="25" s="1"/>
  <c r="G908" i="25" l="1"/>
  <c r="I908" i="25"/>
  <c r="K908" i="25" s="1"/>
  <c r="L908" i="25" s="1"/>
  <c r="F909" i="25" s="1"/>
  <c r="G909" i="25" l="1"/>
  <c r="I909" i="25"/>
  <c r="K909" i="25" s="1"/>
  <c r="L909" i="25" s="1"/>
  <c r="F910" i="25" s="1"/>
  <c r="G910" i="25" l="1"/>
  <c r="I910" i="25"/>
  <c r="K910" i="25" s="1"/>
  <c r="L910" i="25" s="1"/>
  <c r="F911" i="25" s="1"/>
  <c r="G911" i="25" l="1"/>
  <c r="I911" i="25"/>
  <c r="K911" i="25" s="1"/>
  <c r="L911" i="25" s="1"/>
  <c r="F912" i="25" s="1"/>
  <c r="G912" i="25" l="1"/>
  <c r="I912" i="25"/>
  <c r="K912" i="25" s="1"/>
  <c r="L912" i="25" s="1"/>
  <c r="F913" i="25" s="1"/>
  <c r="G913" i="25" l="1"/>
  <c r="I913" i="25"/>
  <c r="L6" i="25"/>
  <c r="E28" i="30" s="1"/>
  <c r="E29" i="30" s="1"/>
  <c r="K913" i="25" l="1"/>
  <c r="L913" i="25" s="1"/>
  <c r="L5" i="25" s="1"/>
  <c r="E26" i="30" s="1"/>
  <c r="L9" i="25"/>
  <c r="G22" i="30" l="1"/>
  <c r="A12" i="30"/>
  <c r="E27" i="30"/>
</calcChain>
</file>

<file path=xl/comments1.xml><?xml version="1.0" encoding="utf-8"?>
<comments xmlns="http://schemas.openxmlformats.org/spreadsheetml/2006/main">
  <authors>
    <author>Bryon Keene</author>
  </authors>
  <commentList>
    <comment ref="E45" authorId="0">
      <text>
        <r>
          <rPr>
            <b/>
            <sz val="8"/>
            <color indexed="81"/>
            <rFont val="Tahoma"/>
            <charset val="1"/>
          </rPr>
          <t>Bryon Keene:</t>
        </r>
        <r>
          <rPr>
            <sz val="8"/>
            <color indexed="81"/>
            <rFont val="Tahoma"/>
            <charset val="1"/>
          </rPr>
          <t xml:space="preserve">
The volume for the SCS method is less than the volume determined from Rational Method.  Use this column if the total volume needs to be equivalent to the Rational Method volume.</t>
        </r>
      </text>
    </comment>
    <comment ref="K45" authorId="0">
      <text>
        <r>
          <rPr>
            <b/>
            <sz val="8"/>
            <color indexed="81"/>
            <rFont val="Tahoma"/>
            <charset val="1"/>
          </rPr>
          <t>Bryon Keene:</t>
        </r>
        <r>
          <rPr>
            <sz val="8"/>
            <color indexed="81"/>
            <rFont val="Tahoma"/>
            <charset val="1"/>
          </rPr>
          <t xml:space="preserve">
The volume for the SCS method is less than the volume determined from Rational Method.  Use this column if the total volume needs to be equivalent to the Rational Method volume.</t>
        </r>
      </text>
    </comment>
  </commentList>
</comments>
</file>

<file path=xl/comments2.xml><?xml version="1.0" encoding="utf-8"?>
<comments xmlns="http://schemas.openxmlformats.org/spreadsheetml/2006/main">
  <authors>
    <author>bkeene</author>
    <author>Bryon Keene</author>
  </authors>
  <commentList>
    <comment ref="I5" authorId="0">
      <text>
        <r>
          <rPr>
            <b/>
            <sz val="8"/>
            <color indexed="81"/>
            <rFont val="Tahoma"/>
            <family val="2"/>
          </rPr>
          <t>bkeene:</t>
        </r>
        <r>
          <rPr>
            <sz val="8"/>
            <color indexed="81"/>
            <rFont val="Tahoma"/>
            <family val="2"/>
          </rPr>
          <t xml:space="preserve">
This value refers to water surface elevation.</t>
        </r>
      </text>
    </comment>
    <comment ref="D24" authorId="1">
      <text>
        <r>
          <rPr>
            <b/>
            <sz val="8"/>
            <color indexed="81"/>
            <rFont val="Tahoma"/>
            <family val="2"/>
          </rPr>
          <t>Bryon Keene:</t>
        </r>
        <r>
          <rPr>
            <sz val="8"/>
            <color indexed="81"/>
            <rFont val="Tahoma"/>
            <family val="2"/>
          </rPr>
          <t xml:space="preserve">
Place your expected storage volume here.</t>
        </r>
      </text>
    </comment>
    <comment ref="I34" authorId="1">
      <text>
        <r>
          <rPr>
            <b/>
            <sz val="8"/>
            <color indexed="81"/>
            <rFont val="Tahoma"/>
            <family val="2"/>
          </rPr>
          <t>Bryon Keene:</t>
        </r>
        <r>
          <rPr>
            <sz val="8"/>
            <color indexed="81"/>
            <rFont val="Tahoma"/>
            <family val="2"/>
          </rPr>
          <t xml:space="preserve">
Permanent storage for quality portion of pond</t>
        </r>
      </text>
    </comment>
    <comment ref="D36" authorId="1">
      <text>
        <r>
          <rPr>
            <b/>
            <sz val="8"/>
            <color indexed="81"/>
            <rFont val="Tahoma"/>
            <family val="2"/>
          </rPr>
          <t>Bryon Keene:</t>
        </r>
        <r>
          <rPr>
            <sz val="8"/>
            <color indexed="81"/>
            <rFont val="Tahoma"/>
            <family val="2"/>
          </rPr>
          <t xml:space="preserve">
Type in the percentage as a decimal number.</t>
        </r>
      </text>
    </comment>
    <comment ref="I36" authorId="1">
      <text>
        <r>
          <rPr>
            <b/>
            <sz val="8"/>
            <color indexed="81"/>
            <rFont val="Tahoma"/>
            <family val="2"/>
          </rPr>
          <t>Bryon Keene:</t>
        </r>
        <r>
          <rPr>
            <sz val="8"/>
            <color indexed="81"/>
            <rFont val="Tahoma"/>
            <family val="2"/>
          </rPr>
          <t xml:space="preserve">
This is calcuated as 40 m3/ha.</t>
        </r>
      </text>
    </comment>
    <comment ref="O36" authorId="1">
      <text>
        <r>
          <rPr>
            <b/>
            <sz val="8"/>
            <color indexed="81"/>
            <rFont val="Tahoma"/>
            <family val="2"/>
          </rPr>
          <t>Bryon Keene:</t>
        </r>
        <r>
          <rPr>
            <sz val="8"/>
            <color indexed="81"/>
            <rFont val="Tahoma"/>
            <family val="2"/>
          </rPr>
          <t xml:space="preserve">
This is often calculated as 40 m3/ha.</t>
        </r>
      </text>
    </comment>
    <comment ref="D57" authorId="1">
      <text>
        <r>
          <rPr>
            <b/>
            <sz val="8"/>
            <color indexed="81"/>
            <rFont val="Tahoma"/>
            <family val="2"/>
          </rPr>
          <t>Bryon Keene:</t>
        </r>
        <r>
          <rPr>
            <sz val="8"/>
            <color indexed="81"/>
            <rFont val="Tahoma"/>
            <family val="2"/>
          </rPr>
          <t xml:space="preserve">
This is the sum of permanent pool and active quantity control depths.</t>
        </r>
      </text>
    </comment>
  </commentList>
</comments>
</file>

<file path=xl/comments3.xml><?xml version="1.0" encoding="utf-8"?>
<comments xmlns="http://schemas.openxmlformats.org/spreadsheetml/2006/main">
  <authors>
    <author>Bryon Keene</author>
  </authors>
  <commentList>
    <comment ref="K11" authorId="0">
      <text>
        <r>
          <rPr>
            <b/>
            <sz val="8"/>
            <color indexed="81"/>
            <rFont val="Tahoma"/>
            <family val="2"/>
          </rPr>
          <t>Bryon Keene:</t>
        </r>
        <r>
          <rPr>
            <sz val="8"/>
            <color indexed="81"/>
            <rFont val="Tahoma"/>
            <family val="2"/>
          </rPr>
          <t xml:space="preserve">
The Orifice is assumed to be the first control for quality portion.  Therefore, for a combined pond the orifice invert is set to the top of the permanent pool elevation.  There may be a case where you have the orifice set below bottom of pond and this spreadsheet will work for that case.</t>
        </r>
      </text>
    </comment>
    <comment ref="D18" authorId="0">
      <text>
        <r>
          <rPr>
            <b/>
            <sz val="8"/>
            <color indexed="81"/>
            <rFont val="Tahoma"/>
            <family val="2"/>
          </rPr>
          <t>Bryon Keene:</t>
        </r>
        <r>
          <rPr>
            <sz val="8"/>
            <color indexed="81"/>
            <rFont val="Tahoma"/>
            <family val="2"/>
          </rPr>
          <t xml:space="preserve">
What is selected here determines the Total Discharge (column N).</t>
        </r>
      </text>
    </comment>
    <comment ref="D20" authorId="0">
      <text>
        <r>
          <rPr>
            <b/>
            <sz val="8"/>
            <color indexed="81"/>
            <rFont val="Tahoma"/>
            <family val="2"/>
          </rPr>
          <t>Bryon Keene:</t>
        </r>
        <r>
          <rPr>
            <sz val="8"/>
            <color indexed="81"/>
            <rFont val="Tahoma"/>
            <family val="2"/>
          </rPr>
          <t xml:space="preserve">
Leave this as 'Auto' unless you are testing storage values you provided in column P.</t>
        </r>
      </text>
    </comment>
    <comment ref="M23" authorId="0">
      <text>
        <r>
          <rPr>
            <b/>
            <sz val="8"/>
            <color indexed="81"/>
            <rFont val="Tahoma"/>
            <family val="2"/>
          </rPr>
          <t>Bryon Keene:</t>
        </r>
        <r>
          <rPr>
            <sz val="8"/>
            <color indexed="81"/>
            <rFont val="Tahoma"/>
            <family val="2"/>
          </rPr>
          <t xml:space="preserve">
Caution: this column refers only to the control type selected by the user.  For example if cell D18 is 'Orifice Control' then only the outflow in column H is added.  </t>
        </r>
      </text>
    </comment>
    <comment ref="P25" authorId="0">
      <text>
        <r>
          <rPr>
            <b/>
            <sz val="8"/>
            <color indexed="81"/>
            <rFont val="Tahoma"/>
            <family val="2"/>
          </rPr>
          <t>Bryon Keene:</t>
        </r>
        <r>
          <rPr>
            <sz val="8"/>
            <color indexed="81"/>
            <rFont val="Tahoma"/>
            <family val="2"/>
          </rPr>
          <t xml:space="preserve">
Place incremental storage values here.  Do not overwrite Stage or Cum columns.</t>
        </r>
      </text>
    </comment>
  </commentList>
</comments>
</file>

<file path=xl/comments4.xml><?xml version="1.0" encoding="utf-8"?>
<comments xmlns="http://schemas.openxmlformats.org/spreadsheetml/2006/main">
  <authors>
    <author>bkeene</author>
  </authors>
  <commentList>
    <comment ref="L5" authorId="0">
      <text>
        <r>
          <rPr>
            <b/>
            <sz val="8"/>
            <color indexed="81"/>
            <rFont val="Tahoma"/>
            <family val="2"/>
          </rPr>
          <t>bkeene:</t>
        </r>
        <r>
          <rPr>
            <sz val="8"/>
            <color indexed="81"/>
            <rFont val="Tahoma"/>
            <family val="2"/>
          </rPr>
          <t xml:space="preserve">
If rows have been added to this sheet, check to see that the function looks for the correct range.</t>
        </r>
      </text>
    </comment>
    <comment ref="L6" authorId="0">
      <text>
        <r>
          <rPr>
            <b/>
            <sz val="8"/>
            <color indexed="81"/>
            <rFont val="Tahoma"/>
            <family val="2"/>
          </rPr>
          <t>bkeene:</t>
        </r>
        <r>
          <rPr>
            <sz val="8"/>
            <color indexed="81"/>
            <rFont val="Tahoma"/>
            <family val="2"/>
          </rPr>
          <t xml:space="preserve">
If rows have been added to this sheet, check to see that the function looks for the correct range.</t>
        </r>
      </text>
    </comment>
    <comment ref="D8" authorId="0">
      <text>
        <r>
          <rPr>
            <b/>
            <sz val="8"/>
            <color indexed="81"/>
            <rFont val="Tahoma"/>
            <family val="2"/>
          </rPr>
          <t>bkeene:</t>
        </r>
        <r>
          <rPr>
            <sz val="8"/>
            <color indexed="81"/>
            <rFont val="Tahoma"/>
            <family val="2"/>
          </rPr>
          <t xml:space="preserve">
Be careful here that the time step you use for routing matches the timestep of your inflow hydrograph</t>
        </r>
      </text>
    </comment>
    <comment ref="L9" authorId="0">
      <text>
        <r>
          <rPr>
            <b/>
            <sz val="8"/>
            <color indexed="81"/>
            <rFont val="Tahoma"/>
            <family val="2"/>
          </rPr>
          <t>bkeene:</t>
        </r>
        <r>
          <rPr>
            <sz val="8"/>
            <color indexed="81"/>
            <rFont val="Tahoma"/>
            <family val="2"/>
          </rPr>
          <t xml:space="preserve">
If rows have been added to this sheet, check to see that the function looks for the correct range.</t>
        </r>
      </text>
    </comment>
    <comment ref="B11" authorId="0">
      <text>
        <r>
          <rPr>
            <b/>
            <sz val="8"/>
            <color indexed="81"/>
            <rFont val="Tahoma"/>
            <family val="2"/>
          </rPr>
          <t>bkeene:</t>
        </r>
        <r>
          <rPr>
            <sz val="8"/>
            <color indexed="81"/>
            <rFont val="Tahoma"/>
            <family val="2"/>
          </rPr>
          <t xml:space="preserve">
This column picks up the inflow hydrograph from Step 2 using the Rational Method column.</t>
        </r>
      </text>
    </comment>
  </commentList>
</comments>
</file>

<file path=xl/comments5.xml><?xml version="1.0" encoding="utf-8"?>
<comments xmlns="http://schemas.openxmlformats.org/spreadsheetml/2006/main">
  <authors>
    <author>bkeene</author>
    <author>Bryon Keene</author>
  </authors>
  <commentList>
    <comment ref="C9" authorId="0">
      <text>
        <r>
          <rPr>
            <b/>
            <sz val="8"/>
            <color indexed="81"/>
            <rFont val="Tahoma"/>
            <family val="2"/>
          </rPr>
          <t>bkeene:</t>
        </r>
        <r>
          <rPr>
            <sz val="8"/>
            <color indexed="81"/>
            <rFont val="Tahoma"/>
            <family val="2"/>
          </rPr>
          <t xml:space="preserve">
This timestep should be adjusted to ensure that the drawdown time stays within the allotted space.</t>
        </r>
      </text>
    </comment>
    <comment ref="C11" authorId="1">
      <text>
        <r>
          <rPr>
            <b/>
            <sz val="8"/>
            <color indexed="81"/>
            <rFont val="Tahoma"/>
            <charset val="1"/>
          </rPr>
          <t>Bryon Keene:</t>
        </r>
        <r>
          <rPr>
            <sz val="8"/>
            <color indexed="81"/>
            <rFont val="Tahoma"/>
            <charset val="1"/>
          </rPr>
          <t xml:space="preserve">
Select a depth at which the pond is considered substantially empty.</t>
        </r>
      </text>
    </comment>
    <comment ref="B14" authorId="0">
      <text>
        <r>
          <rPr>
            <b/>
            <sz val="8"/>
            <color indexed="81"/>
            <rFont val="Tahoma"/>
            <family val="2"/>
          </rPr>
          <t>bkeene:</t>
        </r>
        <r>
          <rPr>
            <sz val="8"/>
            <color indexed="81"/>
            <rFont val="Tahoma"/>
            <family val="2"/>
          </rPr>
          <t xml:space="preserve">
This column picks up the inflow hydrograph from Step 2 using the Rational Method column.</t>
        </r>
      </text>
    </comment>
  </commentList>
</comments>
</file>

<file path=xl/comments6.xml><?xml version="1.0" encoding="utf-8"?>
<comments xmlns="http://schemas.openxmlformats.org/spreadsheetml/2006/main">
  <authors>
    <author>Bryon Keene</author>
  </authors>
  <commentList>
    <comment ref="B18" authorId="0">
      <text>
        <r>
          <rPr>
            <b/>
            <sz val="8"/>
            <color indexed="81"/>
            <rFont val="Tahoma"/>
            <family val="2"/>
          </rPr>
          <t>Bryon Keene:</t>
        </r>
        <r>
          <rPr>
            <sz val="8"/>
            <color indexed="81"/>
            <rFont val="Tahoma"/>
            <family val="2"/>
          </rPr>
          <t xml:space="preserve">
This value is extrapolated from MOE Table 3.2 per page 3-11.</t>
        </r>
      </text>
    </comment>
    <comment ref="C18" authorId="0">
      <text>
        <r>
          <rPr>
            <b/>
            <sz val="8"/>
            <color indexed="81"/>
            <rFont val="Tahoma"/>
            <family val="2"/>
          </rPr>
          <t>Bryon Keene:</t>
        </r>
        <r>
          <rPr>
            <sz val="8"/>
            <color indexed="81"/>
            <rFont val="Tahoma"/>
            <family val="2"/>
          </rPr>
          <t xml:space="preserve">
This value is extrapolated from MOE Table 3.2 per page 3-11.</t>
        </r>
      </text>
    </comment>
    <comment ref="D18" authorId="0">
      <text>
        <r>
          <rPr>
            <b/>
            <sz val="8"/>
            <color indexed="81"/>
            <rFont val="Tahoma"/>
            <family val="2"/>
          </rPr>
          <t>Bryon Keene:</t>
        </r>
        <r>
          <rPr>
            <sz val="8"/>
            <color indexed="81"/>
            <rFont val="Tahoma"/>
            <family val="2"/>
          </rPr>
          <t xml:space="preserve">
This value is extrapolated from MOE Table 3.2 per page 3-11.</t>
        </r>
      </text>
    </comment>
  </commentList>
</comments>
</file>

<file path=xl/sharedStrings.xml><?xml version="1.0" encoding="utf-8"?>
<sst xmlns="http://schemas.openxmlformats.org/spreadsheetml/2006/main" count="443" uniqueCount="302">
  <si>
    <t>Facility</t>
  </si>
  <si>
    <t>Volume</t>
  </si>
  <si>
    <t>Depth</t>
  </si>
  <si>
    <t>Pond Side Slope   _:1</t>
  </si>
  <si>
    <t>Length at Full Storage (m)</t>
  </si>
  <si>
    <t>Width at Full Storage (m)</t>
  </si>
  <si>
    <t>Surface Area at Full Storage (sq.m)</t>
  </si>
  <si>
    <t>Depth of Active Storage (m)</t>
  </si>
  <si>
    <t>Depth of Dead Storage (m)</t>
  </si>
  <si>
    <t>Volume of Active Storage is</t>
  </si>
  <si>
    <t>Active Storage Calculations</t>
  </si>
  <si>
    <t>Active Volume (cu.m)</t>
  </si>
  <si>
    <t>Depth of Extended Detention Storage (m)</t>
  </si>
  <si>
    <t>Summary</t>
  </si>
  <si>
    <t>Notes:</t>
  </si>
  <si>
    <t>Design Constraints</t>
  </si>
  <si>
    <t>Freeboard (m)</t>
  </si>
  <si>
    <t>Berm top width (m)</t>
  </si>
  <si>
    <t>Min Separation of road from ppty line (m)</t>
  </si>
  <si>
    <t>Length (m)</t>
  </si>
  <si>
    <t>m</t>
  </si>
  <si>
    <t>Elevation</t>
  </si>
  <si>
    <t>Length</t>
  </si>
  <si>
    <t>Width</t>
  </si>
  <si>
    <t>m3</t>
  </si>
  <si>
    <t>(not less than 0.01 m)</t>
  </si>
  <si>
    <t>Cum vol</t>
  </si>
  <si>
    <t>Incr Vol</t>
  </si>
  <si>
    <t>Outflow</t>
  </si>
  <si>
    <t>cms</t>
  </si>
  <si>
    <t>min</t>
  </si>
  <si>
    <t>Volume of inflow</t>
  </si>
  <si>
    <t>Volume Released</t>
  </si>
  <si>
    <t>Volume Remaining</t>
  </si>
  <si>
    <t>Time</t>
  </si>
  <si>
    <r>
      <t>m</t>
    </r>
    <r>
      <rPr>
        <b/>
        <vertAlign val="superscript"/>
        <sz val="10"/>
        <rFont val="Arial"/>
        <family val="2"/>
      </rPr>
      <t>3</t>
    </r>
  </si>
  <si>
    <r>
      <t>m</t>
    </r>
    <r>
      <rPr>
        <vertAlign val="superscript"/>
        <sz val="10"/>
        <rFont val="Arial"/>
        <family val="2"/>
      </rPr>
      <t>2</t>
    </r>
  </si>
  <si>
    <t>Pond Control</t>
  </si>
  <si>
    <t>Orifice</t>
  </si>
  <si>
    <t>Formula</t>
  </si>
  <si>
    <t>Top of Pond Elevation (m)</t>
  </si>
  <si>
    <t>mm</t>
  </si>
  <si>
    <t>Drainage Area</t>
  </si>
  <si>
    <t>ha</t>
  </si>
  <si>
    <t>Runoff Coefficient</t>
  </si>
  <si>
    <t>5 MIN</t>
  </si>
  <si>
    <t>10 MIN</t>
  </si>
  <si>
    <t>15 MIN</t>
  </si>
  <si>
    <t>30 MIN</t>
  </si>
  <si>
    <t>1 H</t>
  </si>
  <si>
    <t>2 H</t>
  </si>
  <si>
    <t>6 H</t>
  </si>
  <si>
    <t>12 H</t>
  </si>
  <si>
    <t>24 H</t>
  </si>
  <si>
    <t>DURATION</t>
  </si>
  <si>
    <t>Q = 0.00278CiA</t>
  </si>
  <si>
    <t>Where:</t>
  </si>
  <si>
    <t>Q = Peak Flow in cms</t>
  </si>
  <si>
    <t>C = Runoff Coefficient</t>
  </si>
  <si>
    <t>A = Area in hectares</t>
  </si>
  <si>
    <t>i = Rainfall Intensity in mm/hr</t>
  </si>
  <si>
    <t>Time of Concentration =</t>
  </si>
  <si>
    <t>mm/hr</t>
  </si>
  <si>
    <t>Flow</t>
  </si>
  <si>
    <t>Pre-Development</t>
  </si>
  <si>
    <t xml:space="preserve">Runoff Coefficient = </t>
  </si>
  <si>
    <t xml:space="preserve">Peak Flow = </t>
  </si>
  <si>
    <t>Post-Development</t>
  </si>
  <si>
    <t>Total Depth (mm)</t>
  </si>
  <si>
    <t>Intensity (MM/HR)</t>
  </si>
  <si>
    <t>Drainage Area =</t>
  </si>
  <si>
    <t>Step 2 - Determine the Inflow Hydrograph</t>
  </si>
  <si>
    <t>Select Storm Duration</t>
  </si>
  <si>
    <t>Select Return Frequency</t>
  </si>
  <si>
    <t>Yr</t>
  </si>
  <si>
    <t>Minutes</t>
  </si>
  <si>
    <t>(Select from 2, 5, 10, 25, 50, 100)</t>
  </si>
  <si>
    <t>Enter Site Statistics for Pre-Development and Post-Development</t>
  </si>
  <si>
    <t>Peak Intensity =</t>
  </si>
  <si>
    <t>Peak Flow =</t>
  </si>
  <si>
    <t>Peak Rainfall Intensity =</t>
  </si>
  <si>
    <t>Select Time Step</t>
  </si>
  <si>
    <t>(Select from 1, 2, 5, 10, 15)</t>
  </si>
  <si>
    <t>Rainfall Depth =</t>
  </si>
  <si>
    <t>Error Notes</t>
  </si>
  <si>
    <t xml:space="preserve"> INTERPOLATION EQUATION / EQUATION D"INTERPOLATION: R = A * T ** B</t>
  </si>
  <si>
    <t xml:space="preserve">                 R = RAINFALL RATE / INTENSITE DE LA PLUIE (MM /HR)</t>
  </si>
  <si>
    <t xml:space="preserve">                 T = TIME IN HOURS / TEMPS EN HEURES</t>
  </si>
  <si>
    <t>STATISTICS</t>
  </si>
  <si>
    <t>MEAN OF  R</t>
  </si>
  <si>
    <t>STD. DEV. R</t>
  </si>
  <si>
    <t>STD. ERROR</t>
  </si>
  <si>
    <t>COEFF. (A)</t>
  </si>
  <si>
    <t>EXPONENT (B)</t>
  </si>
  <si>
    <t>MEAN % ERROR</t>
  </si>
  <si>
    <t>Rational</t>
  </si>
  <si>
    <t>Total Volume of Precipitation =</t>
  </si>
  <si>
    <t>Rising Limb</t>
  </si>
  <si>
    <t>Falling Limb</t>
  </si>
  <si>
    <t>Storm Data</t>
  </si>
  <si>
    <r>
      <t>To Solve for Peak Intensity at T</t>
    </r>
    <r>
      <rPr>
        <vertAlign val="subscript"/>
        <sz val="10"/>
        <rFont val="Arial"/>
        <family val="2"/>
      </rPr>
      <t>c</t>
    </r>
  </si>
  <si>
    <r>
      <t>Eqn:  Intensity (i) = A x T</t>
    </r>
    <r>
      <rPr>
        <vertAlign val="subscript"/>
        <sz val="10"/>
        <rFont val="Arial"/>
        <family val="2"/>
      </rPr>
      <t>c</t>
    </r>
    <r>
      <rPr>
        <sz val="10"/>
        <rFont val="Arial"/>
        <family val="2"/>
      </rPr>
      <t xml:space="preserve"> </t>
    </r>
    <r>
      <rPr>
        <vertAlign val="superscript"/>
        <sz val="10"/>
        <rFont val="Arial"/>
        <family val="2"/>
      </rPr>
      <t>B</t>
    </r>
  </si>
  <si>
    <t>Coeff A =</t>
  </si>
  <si>
    <t>Coeff B =</t>
  </si>
  <si>
    <t>* Assumes total volume = RC x total volume precip</t>
  </si>
  <si>
    <t>Total Volume of Runoff * =</t>
  </si>
  <si>
    <t>Determine Hydrographs</t>
  </si>
  <si>
    <t>Rational Method Assumptions:</t>
  </si>
  <si>
    <t>Total depth of precipitation is derived from IDF</t>
  </si>
  <si>
    <t>and is based on storm duration</t>
  </si>
  <si>
    <t>Rising limb is calculated based on Tc for catchment</t>
  </si>
  <si>
    <t>Runoff Coefficient may be applied to total depth</t>
  </si>
  <si>
    <t>Falling limb is derived from remaining runoff volume</t>
  </si>
  <si>
    <t>Source: Stormnet Technical Reference Manual</t>
  </si>
  <si>
    <t>Boss, 2008</t>
  </si>
  <si>
    <t>Allows for longer durations</t>
  </si>
  <si>
    <t>Modified to allow for longer duration storms</t>
  </si>
  <si>
    <t>Modified Rational Method Limitations</t>
  </si>
  <si>
    <t>Can yield runoff depth greater than precip depth</t>
  </si>
  <si>
    <r>
      <rPr>
        <b/>
        <sz val="10"/>
        <rFont val="Arial"/>
        <family val="2"/>
      </rPr>
      <t>Peak Flow</t>
    </r>
    <r>
      <rPr>
        <sz val="10"/>
        <rFont val="Arial"/>
        <family val="2"/>
      </rPr>
      <t xml:space="preserve"> is Calculated by Rational Method using T</t>
    </r>
    <r>
      <rPr>
        <vertAlign val="subscript"/>
        <sz val="10"/>
        <rFont val="Arial"/>
        <family val="2"/>
      </rPr>
      <t>c</t>
    </r>
    <r>
      <rPr>
        <sz val="10"/>
        <rFont val="Arial"/>
        <family val="2"/>
      </rPr>
      <t xml:space="preserve"> given above:</t>
    </r>
  </si>
  <si>
    <r>
      <t>Assume Full Depth of Runoff Volume (m</t>
    </r>
    <r>
      <rPr>
        <vertAlign val="superscript"/>
        <sz val="10"/>
        <rFont val="Arial"/>
        <family val="2"/>
      </rPr>
      <t>3</t>
    </r>
    <r>
      <rPr>
        <sz val="10"/>
        <rFont val="Arial"/>
        <family val="2"/>
      </rPr>
      <t>)</t>
    </r>
  </si>
  <si>
    <t>Provide Initial Pond Dimensions (full storage)</t>
  </si>
  <si>
    <t>Quantity Storage Check</t>
  </si>
  <si>
    <t>Quantity Control</t>
  </si>
  <si>
    <t>First Guess for Active Storage</t>
  </si>
  <si>
    <t>Pond Length to Width Ratio Full  _:1</t>
  </si>
  <si>
    <t>Active storage available (cu.m)</t>
  </si>
  <si>
    <t>1)  The Extended Detention Volume is assumed to be available for Quantity storage requirements.</t>
  </si>
  <si>
    <t>Full Storage Elevation (m)</t>
  </si>
  <si>
    <t>Select Stage Increment (m)</t>
  </si>
  <si>
    <t>Orifice Dia =</t>
  </si>
  <si>
    <t>Area =</t>
  </si>
  <si>
    <t xml:space="preserve">Predevelopment </t>
  </si>
  <si>
    <t>Postdevelopment</t>
  </si>
  <si>
    <t>Controlled</t>
  </si>
  <si>
    <t>na.</t>
  </si>
  <si>
    <t>Depth (m)</t>
  </si>
  <si>
    <t>Area (ha)</t>
  </si>
  <si>
    <t>Peak Flow (cms)</t>
  </si>
  <si>
    <t>Top Elevation (m)</t>
  </si>
  <si>
    <t>3)  User may vary storage depths to optimize pond size.  Sheet will notify user if storage is insufficient.</t>
  </si>
  <si>
    <t>Instructions</t>
  </si>
  <si>
    <t>This model has been developed to assist with sizing of stormwater management facilities.</t>
  </si>
  <si>
    <t>The sheet will check for various errors and provide notice back to the user.  It will not prevent</t>
  </si>
  <si>
    <t>the user from using garbage information.</t>
  </si>
  <si>
    <t>Facility storage is determined following a storage indication method and works best for</t>
  </si>
  <si>
    <t xml:space="preserve">smaller time steps.  </t>
  </si>
  <si>
    <t xml:space="preserve">Be careful not to change other cells.  The sheet has not been protected and allows the </t>
  </si>
  <si>
    <t>user to view or change all cell contents.</t>
  </si>
  <si>
    <t>If you find any computational errors or errors in logic, please contact</t>
  </si>
  <si>
    <t>Bryon Keene at Quinte Conservation, 613-968-3434 or email at</t>
  </si>
  <si>
    <t>bkeene@quinteconservation.ca</t>
  </si>
  <si>
    <t>(Select from 5, 10, 15, 30, 60, 120, 360, 720, 1440)</t>
  </si>
  <si>
    <t>Time Step (min)</t>
  </si>
  <si>
    <t>Q</t>
  </si>
  <si>
    <t>Peak using duration =</t>
  </si>
  <si>
    <t>Depth in Pond</t>
  </si>
  <si>
    <t>Bottom of Active Storage (m)</t>
  </si>
  <si>
    <t>Current as of December 2012</t>
  </si>
  <si>
    <t>Belleville Ontario</t>
  </si>
  <si>
    <r>
      <t xml:space="preserve">Width (m) </t>
    </r>
    <r>
      <rPr>
        <sz val="8"/>
        <rFont val="Antique Olive CompactPS"/>
        <family val="2"/>
      </rPr>
      <t>* Should be less than 1/3 length</t>
    </r>
  </si>
  <si>
    <t>Linear Pond</t>
  </si>
  <si>
    <t>Sharp Crested Weir</t>
  </si>
  <si>
    <t>Weir Length</t>
  </si>
  <si>
    <r>
      <t>Q = 1.84LH</t>
    </r>
    <r>
      <rPr>
        <vertAlign val="superscript"/>
        <sz val="10"/>
        <rFont val="Arial"/>
        <family val="2"/>
      </rPr>
      <t>3/2</t>
    </r>
  </si>
  <si>
    <t>approx</t>
  </si>
  <si>
    <t>Coeff</t>
  </si>
  <si>
    <t>NRCS Unit Hydrograph Method</t>
  </si>
  <si>
    <r>
      <t>t/t</t>
    </r>
    <r>
      <rPr>
        <b/>
        <vertAlign val="subscript"/>
        <sz val="10"/>
        <rFont val="Arial"/>
        <family val="2"/>
      </rPr>
      <t>p</t>
    </r>
    <r>
      <rPr>
        <b/>
        <sz val="10"/>
        <rFont val="Arial"/>
        <family val="2"/>
      </rPr>
      <t xml:space="preserve"> </t>
    </r>
  </si>
  <si>
    <r>
      <t>Q/Q</t>
    </r>
    <r>
      <rPr>
        <b/>
        <vertAlign val="subscript"/>
        <sz val="10"/>
        <rFont val="Arial"/>
        <family val="2"/>
      </rPr>
      <t>p</t>
    </r>
  </si>
  <si>
    <t>Source: NRCS</t>
  </si>
  <si>
    <r>
      <t>t</t>
    </r>
    <r>
      <rPr>
        <vertAlign val="subscript"/>
        <sz val="10"/>
        <rFont val="Arial"/>
        <family val="2"/>
      </rPr>
      <t>p</t>
    </r>
    <r>
      <rPr>
        <sz val="10"/>
        <rFont val="Arial"/>
        <family val="2"/>
      </rPr>
      <t xml:space="preserve"> = 2/3 t</t>
    </r>
    <r>
      <rPr>
        <vertAlign val="subscript"/>
        <sz val="10"/>
        <rFont val="Arial"/>
        <family val="2"/>
      </rPr>
      <t>c</t>
    </r>
    <r>
      <rPr>
        <sz val="10"/>
        <rFont val="Arial"/>
        <family val="2"/>
      </rPr>
      <t xml:space="preserve"> =</t>
    </r>
  </si>
  <si>
    <t>Q =</t>
  </si>
  <si>
    <t>M.R.</t>
  </si>
  <si>
    <t>SCS</t>
  </si>
  <si>
    <t>Pre</t>
  </si>
  <si>
    <t>Post</t>
  </si>
  <si>
    <t>Mod Rat.</t>
  </si>
  <si>
    <t>t (min)</t>
  </si>
  <si>
    <t>Inflow Hydrograph</t>
  </si>
  <si>
    <t>Inflow Hydrographs</t>
  </si>
  <si>
    <t>Modified Rational</t>
  </si>
  <si>
    <t>Frequency</t>
  </si>
  <si>
    <t>Duration</t>
  </si>
  <si>
    <t>Step</t>
  </si>
  <si>
    <t>i=</t>
  </si>
  <si>
    <t>Volume Corrected</t>
  </si>
  <si>
    <t>Total V</t>
  </si>
  <si>
    <r>
      <rPr>
        <b/>
        <sz val="10"/>
        <rFont val="Arial"/>
        <family val="2"/>
      </rPr>
      <t>V</t>
    </r>
    <r>
      <rPr>
        <b/>
        <vertAlign val="subscript"/>
        <sz val="10"/>
        <rFont val="Arial"/>
        <family val="2"/>
      </rPr>
      <t>RO</t>
    </r>
    <r>
      <rPr>
        <b/>
        <sz val="10"/>
        <rFont val="Arial"/>
        <family val="2"/>
      </rPr>
      <t>/V</t>
    </r>
    <r>
      <rPr>
        <b/>
        <vertAlign val="subscript"/>
        <sz val="10"/>
        <rFont val="Arial"/>
        <family val="2"/>
      </rPr>
      <t>SCS</t>
    </r>
  </si>
  <si>
    <t>SCS Vol Corrected</t>
  </si>
  <si>
    <r>
      <t xml:space="preserve">For </t>
    </r>
    <r>
      <rPr>
        <i/>
        <sz val="10"/>
        <rFont val="Arial"/>
        <family val="2"/>
      </rPr>
      <t>Volume Corrected</t>
    </r>
    <r>
      <rPr>
        <sz val="10"/>
        <rFont val="Arial"/>
        <family val="2"/>
      </rPr>
      <t xml:space="preserve"> Scale by</t>
    </r>
  </si>
  <si>
    <t>The user provides input in cells that are in yellow such as</t>
  </si>
  <si>
    <t xml:space="preserve">It uses the Rational Method and SCS Hydrograph to determine peak flows and relies upon </t>
  </si>
  <si>
    <t>IDF values for return period depths and intensities.</t>
  </si>
  <si>
    <t>Head  (h)</t>
  </si>
  <si>
    <t>Flow (Q)</t>
  </si>
  <si>
    <t>Obvert =</t>
  </si>
  <si>
    <t>Inv. of Orifice</t>
  </si>
  <si>
    <t>Weir Inv.</t>
  </si>
  <si>
    <t>Volume in Pond</t>
  </si>
  <si>
    <t>Available</t>
  </si>
  <si>
    <t>Used</t>
  </si>
  <si>
    <t>Target</t>
  </si>
  <si>
    <t>Peak</t>
  </si>
  <si>
    <t>Outflow (cms)</t>
  </si>
  <si>
    <r>
      <t>Storage (m</t>
    </r>
    <r>
      <rPr>
        <b/>
        <vertAlign val="superscript"/>
        <sz val="10"/>
        <rFont val="Arial"/>
        <family val="2"/>
      </rPr>
      <t>3</t>
    </r>
    <r>
      <rPr>
        <b/>
        <sz val="10"/>
        <rFont val="Arial"/>
        <family val="2"/>
      </rPr>
      <t>)</t>
    </r>
  </si>
  <si>
    <t>Results</t>
  </si>
  <si>
    <t>or Copy Inflow hydrograph into column B</t>
  </si>
  <si>
    <t>Select Inflow Hydrograph</t>
  </si>
  <si>
    <t>End Contractions: Reduces L by 0.2H</t>
  </si>
  <si>
    <t>Total Discharge</t>
  </si>
  <si>
    <t>Orifice and Weir</t>
  </si>
  <si>
    <t>Details are provided in the table below.</t>
  </si>
  <si>
    <r>
      <t>Storage  (m</t>
    </r>
    <r>
      <rPr>
        <b/>
        <vertAlign val="superscript"/>
        <sz val="10"/>
        <rFont val="Arial"/>
        <family val="2"/>
      </rPr>
      <t>3</t>
    </r>
    <r>
      <rPr>
        <b/>
        <sz val="10"/>
        <rFont val="Arial"/>
        <family val="2"/>
      </rPr>
      <t>)</t>
    </r>
  </si>
  <si>
    <r>
      <t>Outflow (m</t>
    </r>
    <r>
      <rPr>
        <b/>
        <vertAlign val="superscript"/>
        <sz val="10"/>
        <rFont val="Arial"/>
        <family val="2"/>
      </rPr>
      <t>3</t>
    </r>
    <r>
      <rPr>
        <b/>
        <sz val="10"/>
        <rFont val="Arial"/>
        <family val="2"/>
      </rPr>
      <t>/s</t>
    </r>
    <r>
      <rPr>
        <b/>
        <vertAlign val="superscript"/>
        <sz val="10"/>
        <rFont val="Arial"/>
        <family val="2"/>
      </rPr>
      <t>)</t>
    </r>
  </si>
  <si>
    <t>Step 3:  Size a Pond</t>
  </si>
  <si>
    <t>Step 4:  Determine Stage - Storage - Discharge Relationship</t>
  </si>
  <si>
    <t>Step 5:  Route Inflow Hydrograph through Pond</t>
  </si>
  <si>
    <t>Stage Storage</t>
  </si>
  <si>
    <t>Auto</t>
  </si>
  <si>
    <t>User Defined</t>
  </si>
  <si>
    <t>Select Pond Control</t>
  </si>
  <si>
    <t>Select Storage Value Method</t>
  </si>
  <si>
    <t>User Defined Storage</t>
  </si>
  <si>
    <t>Stage</t>
  </si>
  <si>
    <t>Incr.</t>
  </si>
  <si>
    <t>Cum.</t>
  </si>
  <si>
    <t xml:space="preserve">Follow the sheets in order.  Some calculations are iterative and the user may need to </t>
  </si>
  <si>
    <t>go back to earlier sheets to adjust sizes of pond or orifice for example.</t>
  </si>
  <si>
    <t>Step 1:  Insert total depth and intensity values from IDF Curve</t>
  </si>
  <si>
    <r>
      <t>m</t>
    </r>
    <r>
      <rPr>
        <vertAlign val="superscript"/>
        <sz val="10"/>
        <rFont val="Arial"/>
        <family val="2"/>
      </rPr>
      <t>3</t>
    </r>
  </si>
  <si>
    <t>Total Pond Depth</t>
  </si>
  <si>
    <t>% Land Area Utilized for Storage</t>
  </si>
  <si>
    <t>Land Needed for berming, access etc.</t>
  </si>
  <si>
    <t>Total Land Usage (%)</t>
  </si>
  <si>
    <t>Land Needs</t>
  </si>
  <si>
    <t>Total Pond Area</t>
  </si>
  <si>
    <t>Available Land Area for facility (ha)</t>
  </si>
  <si>
    <t>sufficient storage exists for specified depth.</t>
  </si>
  <si>
    <t>2)  This sheet allows the user to specify desired storage depths.  It calculates storage and checks if</t>
  </si>
  <si>
    <t>Quality Control</t>
  </si>
  <si>
    <t>Supply Quality Control Storage Requirements</t>
  </si>
  <si>
    <r>
      <t>Extended Detention Storage (m</t>
    </r>
    <r>
      <rPr>
        <vertAlign val="superscript"/>
        <sz val="10"/>
        <rFont val="Arial"/>
        <family val="2"/>
      </rPr>
      <t>3</t>
    </r>
    <r>
      <rPr>
        <sz val="10"/>
        <rFont val="Arial"/>
        <family val="2"/>
      </rPr>
      <t>)</t>
    </r>
  </si>
  <si>
    <r>
      <t>Total Quality Storage (m</t>
    </r>
    <r>
      <rPr>
        <vertAlign val="superscript"/>
        <sz val="10"/>
        <rFont val="Arial"/>
        <family val="2"/>
      </rPr>
      <t>3</t>
    </r>
    <r>
      <rPr>
        <sz val="10"/>
        <rFont val="Arial"/>
        <family val="2"/>
      </rPr>
      <t>)</t>
    </r>
  </si>
  <si>
    <t>Extended Detention Volume (cu.m)</t>
  </si>
  <si>
    <t>Volume of Extended Detention Storage is</t>
  </si>
  <si>
    <t>Dead Storage Check</t>
  </si>
  <si>
    <t>Length at top of Dead Storage (m)</t>
  </si>
  <si>
    <t>Width at top of Dead Storage (m)</t>
  </si>
  <si>
    <t>Dead Volume (cu.m)</t>
  </si>
  <si>
    <t>Volume of Dead Storage is</t>
  </si>
  <si>
    <t>Quality Control (per Table 3.2 MOE, 2003)</t>
  </si>
  <si>
    <t>Wetpond</t>
  </si>
  <si>
    <t>Imperviousness</t>
  </si>
  <si>
    <t>Dead Storage</t>
  </si>
  <si>
    <t>Land Area (ha)</t>
  </si>
  <si>
    <t>Imperviousness (percent)</t>
  </si>
  <si>
    <t>Protection Level (per MOE, 2003)</t>
  </si>
  <si>
    <t>Enhanced</t>
  </si>
  <si>
    <t>Normal</t>
  </si>
  <si>
    <t>Basic</t>
  </si>
  <si>
    <t>User Defined Quality Control Storage Requirement Option</t>
  </si>
  <si>
    <r>
      <t>Permanent Pool (Dead) Storage (m</t>
    </r>
    <r>
      <rPr>
        <vertAlign val="superscript"/>
        <sz val="10"/>
        <rFont val="Arial"/>
        <family val="2"/>
      </rPr>
      <t>3</t>
    </r>
    <r>
      <rPr>
        <sz val="10"/>
        <rFont val="Arial"/>
        <family val="2"/>
      </rPr>
      <t>)</t>
    </r>
  </si>
  <si>
    <r>
      <t>Dead Storage (m</t>
    </r>
    <r>
      <rPr>
        <vertAlign val="superscript"/>
        <sz val="10"/>
        <rFont val="Arial"/>
        <family val="2"/>
      </rPr>
      <t>3</t>
    </r>
    <r>
      <rPr>
        <sz val="10"/>
        <rFont val="Arial"/>
        <family val="2"/>
      </rPr>
      <t>)</t>
    </r>
  </si>
  <si>
    <t>User Def'd</t>
  </si>
  <si>
    <t>(Select from Enhanced, Normal, Basic, or User Defined)</t>
  </si>
  <si>
    <t>Top of Permanent Pool</t>
  </si>
  <si>
    <t>Top of Extended Detention (m)</t>
  </si>
  <si>
    <t>Top of Permanent Pool (m)</t>
  </si>
  <si>
    <t>Extended Detention Storage Check</t>
  </si>
  <si>
    <t>Width (m)</t>
  </si>
  <si>
    <t>Storage Summary</t>
  </si>
  <si>
    <t>Extended Detention Drawdown Time</t>
  </si>
  <si>
    <t>C =</t>
  </si>
  <si>
    <t>g =</t>
  </si>
  <si>
    <t>Orifice coefficient</t>
  </si>
  <si>
    <t>starting head above orifice (m)</t>
  </si>
  <si>
    <t>ending head above orifice (m)</t>
  </si>
  <si>
    <r>
      <t>A</t>
    </r>
    <r>
      <rPr>
        <vertAlign val="subscript"/>
        <sz val="9"/>
        <rFont val="Arial"/>
        <family val="2"/>
      </rPr>
      <t>p</t>
    </r>
    <r>
      <rPr>
        <sz val="9"/>
        <rFont val="Arial"/>
        <family val="2"/>
      </rPr>
      <t xml:space="preserve"> =</t>
    </r>
  </si>
  <si>
    <r>
      <t>Surface area of the pond in m</t>
    </r>
    <r>
      <rPr>
        <vertAlign val="superscript"/>
        <sz val="9"/>
        <rFont val="Arial"/>
        <family val="2"/>
      </rPr>
      <t>2</t>
    </r>
  </si>
  <si>
    <r>
      <t>A</t>
    </r>
    <r>
      <rPr>
        <vertAlign val="subscript"/>
        <sz val="9"/>
        <rFont val="Arial"/>
        <family val="2"/>
      </rPr>
      <t>o</t>
    </r>
    <r>
      <rPr>
        <sz val="9"/>
        <rFont val="Arial"/>
        <family val="2"/>
      </rPr>
      <t xml:space="preserve"> =</t>
    </r>
  </si>
  <si>
    <r>
      <t>Area of the orifice in m</t>
    </r>
    <r>
      <rPr>
        <vertAlign val="superscript"/>
        <sz val="9"/>
        <rFont val="Arial"/>
        <family val="2"/>
      </rPr>
      <t>2</t>
    </r>
  </si>
  <si>
    <r>
      <t>Acceleration due to gravity = 9.81 m/s</t>
    </r>
    <r>
      <rPr>
        <vertAlign val="superscript"/>
        <sz val="9"/>
        <rFont val="Arial"/>
        <family val="2"/>
      </rPr>
      <t>2</t>
    </r>
    <r>
      <rPr>
        <sz val="9"/>
        <rFont val="Arial"/>
        <family val="2"/>
      </rPr>
      <t>)</t>
    </r>
  </si>
  <si>
    <r>
      <t>h</t>
    </r>
    <r>
      <rPr>
        <vertAlign val="subscript"/>
        <sz val="9"/>
        <rFont val="Arial"/>
        <family val="2"/>
      </rPr>
      <t>1</t>
    </r>
    <r>
      <rPr>
        <sz val="9"/>
        <rFont val="Arial"/>
        <family val="2"/>
      </rPr>
      <t xml:space="preserve"> =</t>
    </r>
  </si>
  <si>
    <r>
      <t>h</t>
    </r>
    <r>
      <rPr>
        <vertAlign val="subscript"/>
        <sz val="9"/>
        <rFont val="Arial"/>
        <family val="2"/>
      </rPr>
      <t>2</t>
    </r>
    <r>
      <rPr>
        <sz val="9"/>
        <rFont val="Arial"/>
        <family val="2"/>
      </rPr>
      <t xml:space="preserve"> =</t>
    </r>
  </si>
  <si>
    <t>Step 6:  Check on Quality Drawdown Time</t>
  </si>
  <si>
    <t>WSEL</t>
  </si>
  <si>
    <t>Top of Extended Detention</t>
  </si>
  <si>
    <t>Select Depth at "Empty" (m)</t>
  </si>
  <si>
    <t>Optional MOE Method</t>
  </si>
  <si>
    <t>Pond Control =</t>
  </si>
  <si>
    <t>Invert (m) =</t>
  </si>
  <si>
    <t>Select Time Step (min)</t>
  </si>
  <si>
    <t>This version is designed for quantity and quality control using orifice and/or sharp crested weir.</t>
  </si>
  <si>
    <t>Permanent Pool</t>
  </si>
  <si>
    <r>
      <t>Storage Required (m</t>
    </r>
    <r>
      <rPr>
        <b/>
        <vertAlign val="superscript"/>
        <sz val="10"/>
        <rFont val="Arial"/>
        <family val="2"/>
      </rPr>
      <t>3</t>
    </r>
    <r>
      <rPr>
        <b/>
        <sz val="10"/>
        <rFont val="Arial"/>
        <family val="2"/>
      </rPr>
      <t>)</t>
    </r>
  </si>
  <si>
    <r>
      <t>Storage Provided (m</t>
    </r>
    <r>
      <rPr>
        <b/>
        <vertAlign val="superscript"/>
        <sz val="10"/>
        <rFont val="Arial"/>
        <family val="2"/>
      </rPr>
      <t>3</t>
    </r>
    <r>
      <rPr>
        <b/>
        <sz val="10"/>
        <rFont val="Arial"/>
        <family val="2"/>
      </rPr>
      <t>)</t>
    </r>
  </si>
  <si>
    <t>Extended Detention</t>
  </si>
  <si>
    <t>Depth Provided (m)</t>
  </si>
  <si>
    <t>Drawdown Time (min)</t>
  </si>
  <si>
    <t xml:space="preserve">or </t>
  </si>
  <si>
    <r>
      <t>Q = CA</t>
    </r>
    <r>
      <rPr>
        <vertAlign val="subscript"/>
        <sz val="10"/>
        <rFont val="Arial"/>
        <family val="2"/>
      </rPr>
      <t>o</t>
    </r>
    <r>
      <rPr>
        <sz val="10"/>
        <rFont val="Arial"/>
        <family val="2"/>
      </rPr>
      <t>(2gH)^</t>
    </r>
    <r>
      <rPr>
        <vertAlign val="superscript"/>
        <sz val="10"/>
        <rFont val="Arial"/>
        <family val="2"/>
      </rPr>
      <t>0.5</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</si>
</sst>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
    <numFmt numFmtId="165" formatCode="0.000"/>
    <numFmt numFmtId="166" formatCode="0.0%"/>
    <numFmt numFmtId="167" formatCode="0.0000"/>
    <numFmt numFmtId="168" formatCode="#,##0.000"/>
  </numFmts>
  <fonts count="31">
    <font>
      <sz val="10"/>
      <name val="Arial"/>
    </font>
    <font>
      <sz val="11"/>
      <color theme="1"/>
      <name val="Calibri"/>
      <family val="2"/>
      <scheme val="minor"/>
    </font>
    <font>
      <sz val="10"/>
      <name val="Arial"/>
      <family val="2"/>
    </font>
    <font>
      <b/>
      <sz val="10"/>
      <name val="Arial"/>
      <family val="2"/>
    </font>
    <font>
      <b/>
      <sz val="12"/>
      <name val="Arial"/>
      <family val="2"/>
    </font>
    <font>
      <sz val="10"/>
      <color indexed="10"/>
      <name val="Arial"/>
      <family val="2"/>
    </font>
    <font>
      <u/>
      <sz val="10"/>
      <name val="Arial"/>
      <family val="2"/>
    </font>
    <font>
      <sz val="10"/>
      <name val="Arial"/>
      <family val="2"/>
    </font>
    <font>
      <vertAlign val="superscript"/>
      <sz val="10"/>
      <name val="Arial"/>
      <family val="2"/>
    </font>
    <font>
      <b/>
      <vertAlign val="superscript"/>
      <sz val="10"/>
      <name val="Arial"/>
      <family val="2"/>
    </font>
    <font>
      <vertAlign val="subscript"/>
      <sz val="10"/>
      <name val="Arial"/>
      <family val="2"/>
    </font>
    <font>
      <sz val="8"/>
      <color indexed="81"/>
      <name val="Tahoma"/>
      <family val="2"/>
    </font>
    <font>
      <b/>
      <sz val="8"/>
      <color indexed="81"/>
      <name val="Tahoma"/>
      <family val="2"/>
    </font>
    <font>
      <b/>
      <i/>
      <sz val="10"/>
      <color rgb="FFFF0000"/>
      <name val="Arial"/>
      <family val="2"/>
    </font>
    <font>
      <i/>
      <sz val="10"/>
      <name val="Arial"/>
      <family val="2"/>
    </font>
    <font>
      <i/>
      <sz val="9"/>
      <name val="Arial"/>
      <family val="2"/>
    </font>
    <font>
      <b/>
      <i/>
      <sz val="10"/>
      <name val="Arial"/>
      <family val="2"/>
    </font>
    <font>
      <i/>
      <sz val="8"/>
      <name val="Arial"/>
      <family val="2"/>
    </font>
    <font>
      <sz val="10"/>
      <name val="Arial"/>
      <family val="2"/>
    </font>
    <font>
      <u/>
      <sz val="10"/>
      <color theme="10"/>
      <name val="Arial"/>
      <family val="2"/>
    </font>
    <font>
      <sz val="8"/>
      <name val="Antique Olive CompactPS"/>
      <family val="2"/>
    </font>
    <font>
      <b/>
      <vertAlign val="subscript"/>
      <sz val="10"/>
      <name val="Arial"/>
      <family val="2"/>
    </font>
    <font>
      <sz val="10"/>
      <color rgb="FF333333"/>
      <name val="Arial Unicode MS"/>
      <family val="2"/>
    </font>
    <font>
      <b/>
      <u/>
      <sz val="12"/>
      <name val="Arial"/>
      <family val="2"/>
    </font>
    <font>
      <b/>
      <i/>
      <sz val="8"/>
      <name val="Arial"/>
      <family val="2"/>
    </font>
    <font>
      <sz val="10"/>
      <name val="Arial"/>
    </font>
    <font>
      <sz val="9"/>
      <name val="Arial"/>
      <family val="2"/>
    </font>
    <font>
      <vertAlign val="subscript"/>
      <sz val="9"/>
      <name val="Arial"/>
      <family val="2"/>
    </font>
    <font>
      <vertAlign val="superscript"/>
      <sz val="9"/>
      <name val="Arial"/>
      <family val="2"/>
    </font>
    <font>
      <sz val="8"/>
      <color indexed="81"/>
      <name val="Tahoma"/>
      <charset val="1"/>
    </font>
    <font>
      <b/>
      <sz val="8"/>
      <color indexed="81"/>
      <name val="Tahoma"/>
      <charset val="1"/>
    </font>
  </fonts>
  <fills count="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FFCCFF"/>
        <bgColor indexed="64"/>
      </patternFill>
    </fill>
    <fill>
      <patternFill patternType="solid">
        <fgColor rgb="FF00B0F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diagonal/>
    </border>
    <border>
      <left/>
      <right/>
      <top style="medium">
        <color indexed="64"/>
      </top>
      <bottom style="double">
        <color indexed="64"/>
      </bottom>
      <diagonal/>
    </border>
  </borders>
  <cellStyleXfs count="7">
    <xf numFmtId="0" fontId="0" fillId="0" borderId="0"/>
    <xf numFmtId="43" fontId="18" fillId="0" borderId="0" applyFont="0" applyFill="0" applyBorder="0" applyAlignment="0" applyProtection="0"/>
    <xf numFmtId="0" fontId="19" fillId="0" borderId="0" applyNumberFormat="0" applyFill="0" applyBorder="0" applyAlignment="0" applyProtection="0">
      <alignment vertical="top"/>
      <protection locked="0"/>
    </xf>
    <xf numFmtId="0" fontId="2" fillId="0" borderId="0"/>
    <xf numFmtId="9" fontId="2" fillId="0" borderId="0" applyFont="0" applyFill="0" applyBorder="0" applyAlignment="0" applyProtection="0"/>
    <xf numFmtId="0" fontId="1" fillId="0" borderId="0"/>
    <xf numFmtId="9" fontId="25" fillId="0" borderId="0" applyFont="0" applyFill="0" applyBorder="0" applyAlignment="0" applyProtection="0"/>
  </cellStyleXfs>
  <cellXfs count="272">
    <xf numFmtId="0" fontId="0" fillId="0" borderId="0" xfId="0"/>
    <xf numFmtId="0" fontId="0" fillId="0" borderId="0" xfId="0" applyAlignment="1">
      <alignment horizontal="center"/>
    </xf>
    <xf numFmtId="1" fontId="0" fillId="0" borderId="0" xfId="0" applyNumberFormat="1" applyAlignment="1">
      <alignment horizontal="center"/>
    </xf>
    <xf numFmtId="0" fontId="3" fillId="0" borderId="0" xfId="0" applyFont="1" applyAlignment="1">
      <alignment horizontal="center"/>
    </xf>
    <xf numFmtId="0" fontId="3" fillId="0" borderId="0" xfId="0" applyFont="1" applyAlignment="1">
      <alignment horizontal="left"/>
    </xf>
    <xf numFmtId="0" fontId="3" fillId="0" borderId="0" xfId="0" applyFont="1"/>
    <xf numFmtId="164" fontId="0" fillId="0" borderId="0" xfId="0" applyNumberFormat="1"/>
    <xf numFmtId="2" fontId="0" fillId="0" borderId="0" xfId="0" applyNumberFormat="1" applyAlignment="1">
      <alignment horizontal="center"/>
    </xf>
    <xf numFmtId="2" fontId="0" fillId="0" borderId="0" xfId="0" applyNumberFormat="1"/>
    <xf numFmtId="0" fontId="0" fillId="0" borderId="0" xfId="0" applyAlignment="1">
      <alignment horizontal="left" indent="1"/>
    </xf>
    <xf numFmtId="0" fontId="0" fillId="0" borderId="0" xfId="0" applyFill="1"/>
    <xf numFmtId="165" fontId="0" fillId="0" borderId="0" xfId="0" applyNumberFormat="1"/>
    <xf numFmtId="165" fontId="3" fillId="0" borderId="0" xfId="0" applyNumberFormat="1" applyFont="1" applyAlignment="1">
      <alignment horizontal="center"/>
    </xf>
    <xf numFmtId="0" fontId="4" fillId="0" borderId="0" xfId="0" applyFont="1"/>
    <xf numFmtId="0" fontId="0" fillId="0" borderId="0" xfId="0"/>
    <xf numFmtId="0" fontId="3" fillId="0" borderId="0" xfId="0" applyFont="1" applyBorder="1" applyAlignment="1">
      <alignment horizontal="center"/>
    </xf>
    <xf numFmtId="0" fontId="3" fillId="0" borderId="0" xfId="0" applyFont="1" applyAlignment="1">
      <alignment horizontal="centerContinuous"/>
    </xf>
    <xf numFmtId="0" fontId="0" fillId="0" borderId="0" xfId="0" applyAlignment="1">
      <alignment horizontal="centerContinuous"/>
    </xf>
    <xf numFmtId="0" fontId="0" fillId="0" borderId="0" xfId="0" applyAlignment="1">
      <alignment horizontal="left" indent="2"/>
    </xf>
    <xf numFmtId="0" fontId="3" fillId="3" borderId="3" xfId="0" applyFont="1" applyFill="1" applyBorder="1" applyAlignment="1">
      <alignment horizontal="center"/>
    </xf>
    <xf numFmtId="0" fontId="13" fillId="0" borderId="0" xfId="0" applyFont="1"/>
    <xf numFmtId="0" fontId="7" fillId="0" borderId="0" xfId="0" applyFont="1"/>
    <xf numFmtId="0" fontId="14" fillId="0" borderId="0" xfId="0" quotePrefix="1" applyFont="1"/>
    <xf numFmtId="0" fontId="0" fillId="0" borderId="0" xfId="0" applyFont="1"/>
    <xf numFmtId="0" fontId="7" fillId="0" borderId="0" xfId="0" applyFont="1" applyAlignment="1">
      <alignment horizontal="left" indent="2"/>
    </xf>
    <xf numFmtId="0" fontId="13" fillId="0" borderId="4" xfId="0" applyFont="1" applyBorder="1" applyAlignment="1">
      <alignment horizontal="left"/>
    </xf>
    <xf numFmtId="0" fontId="0" fillId="0" borderId="5" xfId="0" applyBorder="1"/>
    <xf numFmtId="165" fontId="3" fillId="0" borderId="5" xfId="0" applyNumberFormat="1" applyFont="1" applyBorder="1" applyAlignment="1">
      <alignment horizontal="center"/>
    </xf>
    <xf numFmtId="0" fontId="0" fillId="0" borderId="6" xfId="0" applyBorder="1"/>
    <xf numFmtId="0" fontId="13" fillId="0" borderId="7" xfId="0" applyFont="1" applyBorder="1"/>
    <xf numFmtId="0" fontId="0" fillId="0" borderId="2" xfId="0" applyBorder="1"/>
    <xf numFmtId="0" fontId="0" fillId="0" borderId="8" xfId="0" applyBorder="1"/>
    <xf numFmtId="0" fontId="13" fillId="0" borderId="4" xfId="0" applyFont="1" applyBorder="1"/>
    <xf numFmtId="0" fontId="0" fillId="0" borderId="0" xfId="0" applyBorder="1"/>
    <xf numFmtId="164" fontId="0" fillId="0" borderId="0" xfId="0" applyNumberFormat="1" applyAlignment="1">
      <alignment horizontal="center"/>
    </xf>
    <xf numFmtId="0" fontId="13" fillId="0" borderId="0" xfId="0" applyFont="1" applyBorder="1"/>
    <xf numFmtId="0" fontId="0" fillId="0" borderId="0" xfId="0" applyFill="1" applyAlignment="1">
      <alignment horizontal="center"/>
    </xf>
    <xf numFmtId="0" fontId="7" fillId="0" borderId="0" xfId="0" applyFont="1" applyFill="1"/>
    <xf numFmtId="166" fontId="0" fillId="0" borderId="0" xfId="0" applyNumberFormat="1" applyFill="1" applyAlignment="1">
      <alignment horizontal="center"/>
    </xf>
    <xf numFmtId="0" fontId="7" fillId="0" borderId="0" xfId="0" applyFont="1" applyAlignment="1">
      <alignment horizontal="left" indent="1"/>
    </xf>
    <xf numFmtId="0" fontId="15" fillId="0" borderId="0" xfId="0" quotePrefix="1" applyFont="1"/>
    <xf numFmtId="165" fontId="3" fillId="0" borderId="3" xfId="0" applyNumberFormat="1" applyFont="1" applyBorder="1" applyAlignment="1">
      <alignment horizontal="center"/>
    </xf>
    <xf numFmtId="0" fontId="0" fillId="3" borderId="3" xfId="0" applyFill="1" applyBorder="1" applyAlignment="1">
      <alignment horizontal="center"/>
    </xf>
    <xf numFmtId="0" fontId="14" fillId="0" borderId="0" xfId="0" quotePrefix="1" applyFont="1" applyAlignment="1">
      <alignment horizontal="left" indent="3"/>
    </xf>
    <xf numFmtId="0" fontId="0" fillId="0" borderId="9" xfId="0" applyBorder="1" applyAlignment="1">
      <alignment horizontal="center"/>
    </xf>
    <xf numFmtId="0" fontId="0" fillId="0" borderId="10" xfId="0"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165" fontId="0" fillId="0" borderId="9" xfId="0" applyNumberFormat="1" applyBorder="1" applyAlignment="1">
      <alignment horizontal="center"/>
    </xf>
    <xf numFmtId="0" fontId="0" fillId="0" borderId="15" xfId="0" applyBorder="1" applyAlignment="1">
      <alignment horizontal="center"/>
    </xf>
    <xf numFmtId="165" fontId="0" fillId="0" borderId="16" xfId="0" applyNumberFormat="1" applyBorder="1" applyAlignment="1">
      <alignment horizontal="center"/>
    </xf>
    <xf numFmtId="0" fontId="16" fillId="0" borderId="0" xfId="0" applyFont="1"/>
    <xf numFmtId="0" fontId="17" fillId="0" borderId="0" xfId="0" applyFont="1"/>
    <xf numFmtId="164" fontId="3" fillId="0" borderId="0" xfId="0" applyNumberFormat="1" applyFont="1" applyAlignment="1">
      <alignment horizontal="center"/>
    </xf>
    <xf numFmtId="165" fontId="3" fillId="0" borderId="0" xfId="0" applyNumberFormat="1" applyFont="1" applyAlignment="1">
      <alignment horizontal="left" indent="1"/>
    </xf>
    <xf numFmtId="0" fontId="2" fillId="0" borderId="0" xfId="0" applyFont="1"/>
    <xf numFmtId="2" fontId="3" fillId="3" borderId="3" xfId="0" applyNumberFormat="1" applyFont="1" applyFill="1" applyBorder="1" applyAlignment="1">
      <alignment horizontal="center"/>
    </xf>
    <xf numFmtId="0" fontId="2" fillId="0" borderId="0" xfId="0" applyFont="1" applyFill="1" applyBorder="1"/>
    <xf numFmtId="0" fontId="19" fillId="0" borderId="0" xfId="2" applyAlignment="1" applyProtection="1"/>
    <xf numFmtId="0" fontId="0" fillId="3" borderId="0" xfId="0" applyFill="1" applyAlignment="1">
      <alignment horizontal="center"/>
    </xf>
    <xf numFmtId="0" fontId="0" fillId="3" borderId="0" xfId="0" applyFill="1"/>
    <xf numFmtId="0" fontId="3" fillId="0" borderId="3" xfId="0" applyFont="1" applyFill="1" applyBorder="1" applyAlignment="1">
      <alignment horizontal="center"/>
    </xf>
    <xf numFmtId="165" fontId="0" fillId="3" borderId="3" xfId="0" applyNumberFormat="1" applyFill="1" applyBorder="1" applyAlignment="1">
      <alignment horizontal="center"/>
    </xf>
    <xf numFmtId="0" fontId="3" fillId="0" borderId="0" xfId="0" applyFont="1" applyAlignment="1">
      <alignment horizontal="center"/>
    </xf>
    <xf numFmtId="165" fontId="3" fillId="0" borderId="0" xfId="0" applyNumberFormat="1" applyFont="1" applyBorder="1" applyAlignment="1">
      <alignment horizontal="center"/>
    </xf>
    <xf numFmtId="0" fontId="4" fillId="0" borderId="0" xfId="3" applyFont="1" applyAlignment="1">
      <alignment horizontal="centerContinuous"/>
    </xf>
    <xf numFmtId="0" fontId="2" fillId="0" borderId="0" xfId="3" applyAlignment="1">
      <alignment horizontal="centerContinuous"/>
    </xf>
    <xf numFmtId="0" fontId="2" fillId="0" borderId="0" xfId="3"/>
    <xf numFmtId="0" fontId="3" fillId="0" borderId="0" xfId="3" applyFont="1" applyAlignment="1">
      <alignment horizontal="centerContinuous"/>
    </xf>
    <xf numFmtId="0" fontId="5" fillId="0" borderId="0" xfId="3" applyFont="1"/>
    <xf numFmtId="0" fontId="3" fillId="0" borderId="0" xfId="3" applyFont="1"/>
    <xf numFmtId="0" fontId="3" fillId="0" borderId="0" xfId="3" applyFont="1" applyAlignment="1">
      <alignment horizontal="center"/>
    </xf>
    <xf numFmtId="0" fontId="2" fillId="0" borderId="0" xfId="3" applyFont="1"/>
    <xf numFmtId="2" fontId="2" fillId="2" borderId="3" xfId="3" applyNumberFormat="1" applyFill="1" applyBorder="1" applyAlignment="1">
      <alignment horizontal="center"/>
    </xf>
    <xf numFmtId="0" fontId="2" fillId="2" borderId="3" xfId="3" applyFill="1" applyBorder="1" applyAlignment="1">
      <alignment horizontal="center"/>
    </xf>
    <xf numFmtId="2" fontId="2" fillId="0" borderId="0" xfId="3" applyNumberFormat="1" applyFill="1" applyAlignment="1">
      <alignment horizontal="center"/>
    </xf>
    <xf numFmtId="0" fontId="2" fillId="3" borderId="3" xfId="3" applyFill="1" applyBorder="1" applyAlignment="1">
      <alignment horizontal="center"/>
    </xf>
    <xf numFmtId="164" fontId="2" fillId="3" borderId="3" xfId="3" applyNumberFormat="1" applyFill="1" applyBorder="1" applyAlignment="1">
      <alignment horizontal="center"/>
    </xf>
    <xf numFmtId="0" fontId="2" fillId="0" borderId="0" xfId="3" applyFill="1"/>
    <xf numFmtId="0" fontId="2" fillId="0" borderId="0" xfId="3" applyFont="1" applyAlignment="1">
      <alignment horizontal="left"/>
    </xf>
    <xf numFmtId="0" fontId="2" fillId="0" borderId="0" xfId="3" applyFill="1" applyAlignment="1">
      <alignment horizontal="center"/>
    </xf>
    <xf numFmtId="2" fontId="2" fillId="3" borderId="3" xfId="3" applyNumberFormat="1" applyFill="1" applyBorder="1" applyAlignment="1">
      <alignment horizontal="center"/>
    </xf>
    <xf numFmtId="3" fontId="3" fillId="2" borderId="3" xfId="3" applyNumberFormat="1" applyFont="1" applyFill="1" applyBorder="1" applyAlignment="1">
      <alignment horizontal="center"/>
    </xf>
    <xf numFmtId="3" fontId="3" fillId="0" borderId="0" xfId="3" applyNumberFormat="1" applyFont="1" applyAlignment="1">
      <alignment horizontal="center"/>
    </xf>
    <xf numFmtId="3" fontId="2" fillId="0" borderId="0" xfId="3" applyNumberFormat="1" applyFill="1"/>
    <xf numFmtId="0" fontId="6" fillId="0" borderId="0" xfId="3" applyFont="1"/>
    <xf numFmtId="165" fontId="4" fillId="0" borderId="0" xfId="3" applyNumberFormat="1" applyFont="1" applyAlignment="1">
      <alignment horizontal="centerContinuous"/>
    </xf>
    <xf numFmtId="165" fontId="2" fillId="0" borderId="0" xfId="3" applyNumberFormat="1"/>
    <xf numFmtId="0" fontId="3" fillId="0" borderId="0" xfId="3" applyFont="1" applyFill="1" applyAlignment="1">
      <alignment horizontal="center"/>
    </xf>
    <xf numFmtId="0" fontId="3" fillId="0" borderId="0" xfId="5" applyFont="1"/>
    <xf numFmtId="0" fontId="1" fillId="0" borderId="0" xfId="5"/>
    <xf numFmtId="0" fontId="1" fillId="0" borderId="0" xfId="5" quotePrefix="1"/>
    <xf numFmtId="3" fontId="3" fillId="0" borderId="0" xfId="3" applyNumberFormat="1" applyFont="1"/>
    <xf numFmtId="0" fontId="6" fillId="0" borderId="0" xfId="5" applyFont="1"/>
    <xf numFmtId="0" fontId="2" fillId="0" borderId="0" xfId="5" applyFont="1"/>
    <xf numFmtId="164" fontId="3" fillId="0" borderId="0" xfId="3" applyNumberFormat="1" applyFont="1" applyAlignment="1">
      <alignment horizontal="center"/>
    </xf>
    <xf numFmtId="1" fontId="3" fillId="0" borderId="0" xfId="3" applyNumberFormat="1" applyFont="1" applyAlignment="1">
      <alignment horizontal="center"/>
    </xf>
    <xf numFmtId="0" fontId="3" fillId="2" borderId="3" xfId="3" applyFont="1" applyFill="1" applyBorder="1" applyAlignment="1">
      <alignment horizontal="center"/>
    </xf>
    <xf numFmtId="165" fontId="2" fillId="0" borderId="0" xfId="3" quotePrefix="1" applyNumberFormat="1"/>
    <xf numFmtId="0" fontId="14" fillId="0" borderId="0" xfId="3" quotePrefix="1" applyFont="1"/>
    <xf numFmtId="0" fontId="2" fillId="0" borderId="0" xfId="3" quotePrefix="1"/>
    <xf numFmtId="0" fontId="2" fillId="0" borderId="0" xfId="3" applyFont="1" applyAlignment="1">
      <alignment horizontal="left" indent="1"/>
    </xf>
    <xf numFmtId="0" fontId="2" fillId="0" borderId="0" xfId="3" applyAlignment="1">
      <alignment horizontal="center"/>
    </xf>
    <xf numFmtId="0" fontId="3" fillId="3" borderId="3" xfId="3" applyFont="1" applyFill="1" applyBorder="1" applyAlignment="1">
      <alignment horizontal="center"/>
    </xf>
    <xf numFmtId="2" fontId="3" fillId="3" borderId="3" xfId="3" applyNumberFormat="1" applyFont="1" applyFill="1" applyBorder="1" applyAlignment="1">
      <alignment horizontal="center"/>
    </xf>
    <xf numFmtId="165" fontId="2" fillId="0" borderId="0" xfId="3" applyNumberFormat="1" applyAlignment="1">
      <alignment horizontal="center"/>
    </xf>
    <xf numFmtId="165" fontId="3" fillId="0" borderId="0" xfId="3" applyNumberFormat="1" applyFont="1" applyAlignment="1">
      <alignment horizontal="center"/>
    </xf>
    <xf numFmtId="0" fontId="3" fillId="0" borderId="2" xfId="3" applyFont="1" applyBorder="1" applyAlignment="1">
      <alignment horizontal="center"/>
    </xf>
    <xf numFmtId="165" fontId="3" fillId="0" borderId="2" xfId="3" applyNumberFormat="1" applyFont="1" applyBorder="1" applyAlignment="1">
      <alignment horizontal="center"/>
    </xf>
    <xf numFmtId="0" fontId="3" fillId="0" borderId="2" xfId="3" applyFont="1" applyFill="1" applyBorder="1" applyAlignment="1">
      <alignment horizontal="center"/>
    </xf>
    <xf numFmtId="3" fontId="2" fillId="0" borderId="0" xfId="3" applyNumberFormat="1" applyFont="1"/>
    <xf numFmtId="165" fontId="2" fillId="0" borderId="0" xfId="3" applyNumberFormat="1" applyFont="1"/>
    <xf numFmtId="167" fontId="2" fillId="0" borderId="0" xfId="3" applyNumberFormat="1"/>
    <xf numFmtId="0" fontId="3" fillId="0" borderId="0" xfId="0" applyFont="1" applyAlignment="1">
      <alignment horizontal="center"/>
    </xf>
    <xf numFmtId="0" fontId="0" fillId="0" borderId="0" xfId="0" applyAlignment="1">
      <alignment horizontal="right"/>
    </xf>
    <xf numFmtId="0" fontId="14" fillId="0" borderId="0" xfId="0" applyFont="1"/>
    <xf numFmtId="0" fontId="2" fillId="0" borderId="0" xfId="0" applyFont="1" applyAlignment="1">
      <alignment horizontal="right"/>
    </xf>
    <xf numFmtId="164" fontId="3" fillId="0" borderId="3" xfId="0" applyNumberFormat="1" applyFont="1" applyBorder="1" applyAlignment="1">
      <alignment horizontal="center"/>
    </xf>
    <xf numFmtId="1" fontId="3" fillId="0" borderId="0" xfId="0" applyNumberFormat="1" applyFont="1" applyAlignment="1">
      <alignment horizontal="center"/>
    </xf>
    <xf numFmtId="0" fontId="14" fillId="0" borderId="0" xfId="0" applyFont="1" applyFill="1" applyBorder="1"/>
    <xf numFmtId="0" fontId="0" fillId="0" borderId="0" xfId="0" applyBorder="1" applyAlignment="1">
      <alignment horizontal="center"/>
    </xf>
    <xf numFmtId="0" fontId="3" fillId="0" borderId="0" xfId="0" applyFont="1" applyAlignment="1">
      <alignment horizontal="center"/>
    </xf>
    <xf numFmtId="0" fontId="0" fillId="0" borderId="0" xfId="0" applyAlignment="1">
      <alignment horizontal="center"/>
    </xf>
    <xf numFmtId="0" fontId="22" fillId="0" borderId="0" xfId="0" applyFont="1"/>
    <xf numFmtId="0" fontId="3" fillId="0" borderId="0" xfId="0" applyFont="1" applyAlignment="1">
      <alignment horizontal="center"/>
    </xf>
    <xf numFmtId="2" fontId="0" fillId="0" borderId="0" xfId="0" applyNumberFormat="1" applyAlignment="1">
      <alignment horizontal="center"/>
    </xf>
    <xf numFmtId="165" fontId="0" fillId="0" borderId="17" xfId="0" applyNumberFormat="1" applyBorder="1" applyAlignment="1">
      <alignment horizontal="center"/>
    </xf>
    <xf numFmtId="165" fontId="0" fillId="0" borderId="18" xfId="0" applyNumberFormat="1" applyBorder="1" applyAlignment="1">
      <alignment horizontal="center"/>
    </xf>
    <xf numFmtId="0" fontId="3" fillId="0" borderId="19" xfId="0" applyFont="1" applyBorder="1" applyAlignment="1">
      <alignment horizontal="center"/>
    </xf>
    <xf numFmtId="0" fontId="0" fillId="0" borderId="20" xfId="0" applyBorder="1" applyAlignment="1">
      <alignment horizontal="center"/>
    </xf>
    <xf numFmtId="0" fontId="3" fillId="0" borderId="0" xfId="0" applyFont="1" applyAlignment="1">
      <alignment horizontal="center"/>
    </xf>
    <xf numFmtId="165" fontId="0" fillId="0" borderId="0" xfId="0" applyNumberFormat="1" applyAlignment="1">
      <alignment horizontal="center"/>
    </xf>
    <xf numFmtId="0" fontId="3" fillId="0" borderId="0" xfId="0" applyFont="1" applyFill="1" applyBorder="1" applyAlignment="1">
      <alignment horizontal="center"/>
    </xf>
    <xf numFmtId="0" fontId="3" fillId="0" borderId="0" xfId="0" applyFont="1" applyAlignment="1">
      <alignment horizontal="center"/>
    </xf>
    <xf numFmtId="2" fontId="0" fillId="0" borderId="0" xfId="0" applyNumberFormat="1" applyAlignment="1">
      <alignment horizontal="center"/>
    </xf>
    <xf numFmtId="165" fontId="0" fillId="0" borderId="0" xfId="0" applyNumberFormat="1" applyAlignment="1">
      <alignment horizontal="center"/>
    </xf>
    <xf numFmtId="0" fontId="0" fillId="0" borderId="0" xfId="0" applyAlignment="1">
      <alignment horizontal="center"/>
    </xf>
    <xf numFmtId="2" fontId="0" fillId="0" borderId="0" xfId="0" applyNumberFormat="1" applyAlignment="1">
      <alignment horizontal="center"/>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165" fontId="0" fillId="0" borderId="0" xfId="0" applyNumberFormat="1" applyBorder="1" applyAlignment="1">
      <alignment horizontal="center"/>
    </xf>
    <xf numFmtId="0" fontId="23" fillId="0" borderId="0" xfId="0" applyFont="1"/>
    <xf numFmtId="0" fontId="3" fillId="0" borderId="0" xfId="0" applyFont="1" applyBorder="1" applyAlignment="1">
      <alignment horizontal="center" vertical="center"/>
    </xf>
    <xf numFmtId="0" fontId="3" fillId="0" borderId="0" xfId="3" quotePrefix="1" applyFont="1" applyAlignment="1">
      <alignment horizontal="left"/>
    </xf>
    <xf numFmtId="0" fontId="2" fillId="0" borderId="0" xfId="3" applyFont="1" applyAlignment="1">
      <alignment horizontal="left" indent="2"/>
    </xf>
    <xf numFmtId="0" fontId="2" fillId="0" borderId="0" xfId="3" applyAlignment="1">
      <alignment horizontal="left" indent="2"/>
    </xf>
    <xf numFmtId="2" fontId="2" fillId="0" borderId="0" xfId="3" applyNumberFormat="1" applyAlignment="1">
      <alignment horizontal="center"/>
    </xf>
    <xf numFmtId="168" fontId="0" fillId="0" borderId="0" xfId="0" applyNumberFormat="1"/>
    <xf numFmtId="165" fontId="3" fillId="0" borderId="0" xfId="0" applyNumberFormat="1" applyFont="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0" fillId="0" borderId="2" xfId="0" applyBorder="1" applyAlignment="1">
      <alignment vertical="center"/>
    </xf>
    <xf numFmtId="0" fontId="0" fillId="0" borderId="8" xfId="0" applyBorder="1" applyAlignment="1">
      <alignment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23" xfId="0" applyFont="1" applyBorder="1" applyAlignment="1">
      <alignment horizontal="left" vertical="center"/>
    </xf>
    <xf numFmtId="0" fontId="3" fillId="0" borderId="24" xfId="0" applyFont="1" applyBorder="1" applyAlignment="1">
      <alignment vertical="center"/>
    </xf>
    <xf numFmtId="3" fontId="3" fillId="0" borderId="1" xfId="0" applyNumberFormat="1" applyFont="1" applyBorder="1" applyAlignment="1">
      <alignment horizontal="center" vertical="center"/>
    </xf>
    <xf numFmtId="164" fontId="3" fillId="0" borderId="22" xfId="0" applyNumberFormat="1"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vertical="center"/>
    </xf>
    <xf numFmtId="164" fontId="3" fillId="0" borderId="28" xfId="0" applyNumberFormat="1" applyFont="1" applyBorder="1" applyAlignment="1">
      <alignment horizontal="center" vertical="center"/>
    </xf>
    <xf numFmtId="2" fontId="3" fillId="0" borderId="4" xfId="0" applyNumberFormat="1" applyFont="1" applyBorder="1" applyAlignment="1">
      <alignment horizontal="center" vertical="center"/>
    </xf>
    <xf numFmtId="0" fontId="0" fillId="0" borderId="0" xfId="0" applyAlignment="1">
      <alignment vertical="center"/>
    </xf>
    <xf numFmtId="165" fontId="3" fillId="0" borderId="6" xfId="0" applyNumberFormat="1" applyFont="1" applyBorder="1" applyAlignment="1">
      <alignment horizontal="center" vertical="center"/>
    </xf>
    <xf numFmtId="165" fontId="3" fillId="0" borderId="4" xfId="0" applyNumberFormat="1" applyFont="1" applyBorder="1" applyAlignment="1">
      <alignment horizontal="center" vertical="center"/>
    </xf>
    <xf numFmtId="0" fontId="3" fillId="0" borderId="0" xfId="0" applyFont="1" applyFill="1" applyAlignment="1">
      <alignment horizontal="center" vertical="center"/>
    </xf>
    <xf numFmtId="0" fontId="24" fillId="0" borderId="0" xfId="0" applyFont="1" applyAlignment="1">
      <alignment horizontal="left" indent="2"/>
    </xf>
    <xf numFmtId="165" fontId="3" fillId="0" borderId="0" xfId="0" applyNumberFormat="1" applyFont="1" applyAlignment="1">
      <alignment horizontal="left"/>
    </xf>
    <xf numFmtId="0" fontId="17" fillId="0" borderId="0" xfId="5" applyFont="1"/>
    <xf numFmtId="165" fontId="2" fillId="0" borderId="0" xfId="3" applyNumberFormat="1" applyFont="1" applyAlignment="1">
      <alignment horizontal="center"/>
    </xf>
    <xf numFmtId="2" fontId="3" fillId="0" borderId="0" xfId="3" applyNumberFormat="1" applyFont="1" applyFill="1" applyBorder="1" applyAlignment="1">
      <alignment horizontal="center"/>
    </xf>
    <xf numFmtId="0" fontId="3" fillId="0" borderId="0" xfId="3" applyFont="1" applyFill="1" applyBorder="1" applyAlignment="1">
      <alignment horizontal="center"/>
    </xf>
    <xf numFmtId="0" fontId="3" fillId="0" borderId="0" xfId="0" applyFont="1" applyAlignment="1"/>
    <xf numFmtId="0" fontId="23" fillId="0" borderId="0" xfId="3" applyFont="1" applyAlignment="1">
      <alignment horizontal="left"/>
    </xf>
    <xf numFmtId="0" fontId="17" fillId="0" borderId="0" xfId="3" quotePrefix="1" applyFont="1"/>
    <xf numFmtId="0" fontId="3" fillId="3" borderId="0" xfId="3" applyFont="1" applyFill="1" applyAlignment="1">
      <alignment horizontal="center"/>
    </xf>
    <xf numFmtId="0" fontId="3" fillId="0" borderId="0" xfId="0" applyFont="1" applyAlignment="1">
      <alignment horizontal="center"/>
    </xf>
    <xf numFmtId="0" fontId="0" fillId="0" borderId="0" xfId="0" applyAlignment="1">
      <alignment horizontal="center"/>
    </xf>
    <xf numFmtId="0" fontId="3" fillId="0" borderId="0" xfId="0" applyFont="1" applyAlignment="1">
      <alignment horizontal="center" vertical="center" wrapText="1"/>
    </xf>
    <xf numFmtId="0" fontId="3" fillId="0" borderId="0" xfId="3" applyFont="1" applyAlignment="1">
      <alignment horizontal="center"/>
    </xf>
    <xf numFmtId="0" fontId="2" fillId="0" borderId="0" xfId="0" applyFont="1" applyAlignment="1">
      <alignment horizontal="center"/>
    </xf>
    <xf numFmtId="3" fontId="3" fillId="0" borderId="0" xfId="0" applyNumberFormat="1" applyFont="1" applyAlignment="1">
      <alignment horizontal="center"/>
    </xf>
    <xf numFmtId="0" fontId="0" fillId="0" borderId="0" xfId="0" quotePrefix="1"/>
    <xf numFmtId="9" fontId="0" fillId="0" borderId="0" xfId="0" applyNumberFormat="1" applyAlignment="1">
      <alignment horizontal="center"/>
    </xf>
    <xf numFmtId="0" fontId="2" fillId="0" borderId="0" xfId="0" applyFont="1" applyAlignment="1">
      <alignment horizontal="left" indent="1"/>
    </xf>
    <xf numFmtId="9" fontId="0" fillId="0" borderId="0" xfId="4" applyFont="1" applyAlignment="1">
      <alignment horizontal="center"/>
    </xf>
    <xf numFmtId="0" fontId="3" fillId="0" borderId="0" xfId="0" applyFont="1" applyAlignment="1">
      <alignment horizontal="center"/>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0" xfId="0" applyFont="1" applyAlignment="1">
      <alignment horizontal="center" vertical="center"/>
    </xf>
    <xf numFmtId="0" fontId="0" fillId="0" borderId="29" xfId="0" applyBorder="1"/>
    <xf numFmtId="3" fontId="0" fillId="0" borderId="0" xfId="0" applyNumberFormat="1"/>
    <xf numFmtId="164" fontId="2" fillId="0" borderId="0" xfId="3" applyNumberFormat="1"/>
    <xf numFmtId="1" fontId="2" fillId="3" borderId="3" xfId="3" applyNumberFormat="1" applyFill="1" applyBorder="1" applyAlignment="1">
      <alignment horizontal="center"/>
    </xf>
    <xf numFmtId="1" fontId="2" fillId="0" borderId="0" xfId="3" applyNumberFormat="1"/>
    <xf numFmtId="0" fontId="3" fillId="0" borderId="0" xfId="3" applyFont="1" applyFill="1"/>
    <xf numFmtId="9" fontId="0" fillId="0" borderId="0" xfId="6" applyFont="1" applyAlignment="1">
      <alignment horizontal="center"/>
    </xf>
    <xf numFmtId="0" fontId="14" fillId="0" borderId="0" xfId="0" applyFont="1" applyAlignment="1">
      <alignment horizontal="center"/>
    </xf>
    <xf numFmtId="0" fontId="3" fillId="0" borderId="3" xfId="3" applyFont="1" applyBorder="1" applyAlignment="1">
      <alignment horizontal="center"/>
    </xf>
    <xf numFmtId="9" fontId="3" fillId="2" borderId="3" xfId="6" applyFont="1" applyFill="1" applyBorder="1" applyAlignment="1">
      <alignment horizontal="center"/>
    </xf>
    <xf numFmtId="0" fontId="17" fillId="0" borderId="0" xfId="0" quotePrefix="1" applyFont="1" applyAlignment="1">
      <alignment horizontal="left" indent="3"/>
    </xf>
    <xf numFmtId="164" fontId="3" fillId="0" borderId="3" xfId="3" applyNumberFormat="1" applyFont="1" applyBorder="1" applyAlignment="1">
      <alignment horizontal="center"/>
    </xf>
    <xf numFmtId="2" fontId="2" fillId="0" borderId="0" xfId="3" applyNumberFormat="1"/>
    <xf numFmtId="10" fontId="3" fillId="0" borderId="0" xfId="3" applyNumberFormat="1" applyFont="1" applyBorder="1" applyAlignment="1">
      <alignment horizontal="center"/>
    </xf>
    <xf numFmtId="0" fontId="26" fillId="0" borderId="0" xfId="3" applyFont="1" applyAlignment="1">
      <alignment horizontal="left" indent="2"/>
    </xf>
    <xf numFmtId="0" fontId="26" fillId="0" borderId="0" xfId="3" applyFont="1"/>
    <xf numFmtId="0" fontId="26" fillId="0" borderId="0" xfId="3" applyFont="1" applyFill="1"/>
    <xf numFmtId="0" fontId="26" fillId="0" borderId="0" xfId="3" applyFont="1" applyFill="1" applyAlignment="1">
      <alignment horizontal="left" indent="2"/>
    </xf>
    <xf numFmtId="0" fontId="0" fillId="0" borderId="0" xfId="0"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vertical="center"/>
    </xf>
    <xf numFmtId="3" fontId="3" fillId="0" borderId="0" xfId="0" applyNumberFormat="1" applyFont="1" applyBorder="1" applyAlignment="1">
      <alignment horizontal="center" vertical="center"/>
    </xf>
    <xf numFmtId="165" fontId="3" fillId="0" borderId="0" xfId="0" applyNumberFormat="1" applyFont="1" applyBorder="1" applyAlignment="1">
      <alignment horizontal="center" vertical="center"/>
    </xf>
    <xf numFmtId="2" fontId="0" fillId="0" borderId="0" xfId="0" applyNumberFormat="1" applyAlignment="1">
      <alignment horizontal="center" vertical="center"/>
    </xf>
    <xf numFmtId="0" fontId="0" fillId="0" borderId="0" xfId="0" applyAlignment="1">
      <alignment horizontal="center" vertical="center"/>
    </xf>
    <xf numFmtId="164" fontId="0" fillId="0" borderId="0" xfId="0" applyNumberFormat="1" applyAlignment="1">
      <alignment horizontal="center" vertical="center"/>
    </xf>
    <xf numFmtId="168" fontId="0" fillId="0" borderId="0" xfId="0" applyNumberFormat="1" applyAlignment="1">
      <alignment horizontal="center" vertical="center"/>
    </xf>
    <xf numFmtId="0" fontId="3" fillId="0" borderId="0" xfId="0" applyFont="1" applyAlignment="1">
      <alignment vertical="center"/>
    </xf>
    <xf numFmtId="165" fontId="0" fillId="0" borderId="0" xfId="0" applyNumberFormat="1" applyAlignment="1">
      <alignment vertical="center"/>
    </xf>
    <xf numFmtId="165" fontId="3" fillId="0" borderId="0" xfId="0" applyNumberFormat="1" applyFont="1" applyAlignment="1">
      <alignment horizontal="left" vertical="center"/>
    </xf>
    <xf numFmtId="165" fontId="0" fillId="0" borderId="0" xfId="0" applyNumberFormat="1" applyAlignment="1">
      <alignment horizontal="center" vertical="center"/>
    </xf>
    <xf numFmtId="0" fontId="24" fillId="0" borderId="0" xfId="0" applyFont="1" applyAlignment="1">
      <alignment horizontal="left" vertical="center"/>
    </xf>
    <xf numFmtId="0" fontId="3" fillId="3" borderId="3" xfId="0" applyFont="1" applyFill="1" applyBorder="1" applyAlignment="1">
      <alignment horizontal="center" vertical="center"/>
    </xf>
    <xf numFmtId="0" fontId="3" fillId="0" borderId="0" xfId="0" applyFont="1" applyFill="1" applyBorder="1" applyAlignment="1">
      <alignment horizontal="center" vertical="center"/>
    </xf>
    <xf numFmtId="165" fontId="3" fillId="0" borderId="0" xfId="0" applyNumberFormat="1"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indent="2"/>
    </xf>
    <xf numFmtId="0" fontId="3" fillId="0" borderId="0" xfId="0" applyFont="1" applyAlignment="1">
      <alignment horizontal="left" indent="1"/>
    </xf>
    <xf numFmtId="165" fontId="3" fillId="0" borderId="0" xfId="0" applyNumberFormat="1" applyFont="1" applyBorder="1" applyAlignment="1">
      <alignment horizontal="right" vertical="center"/>
    </xf>
    <xf numFmtId="0" fontId="3" fillId="0" borderId="0" xfId="0" applyFont="1" applyAlignment="1">
      <alignment horizontal="center"/>
    </xf>
    <xf numFmtId="0" fontId="0" fillId="0" borderId="0" xfId="0" applyAlignment="1">
      <alignment horizontal="center"/>
    </xf>
    <xf numFmtId="0" fontId="3" fillId="0" borderId="0" xfId="0" applyFont="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3" fillId="0" borderId="0" xfId="0" applyFont="1" applyBorder="1" applyAlignment="1">
      <alignment horizontal="center" vertical="center" wrapText="1"/>
    </xf>
    <xf numFmtId="0" fontId="3" fillId="0" borderId="2" xfId="0" applyFont="1" applyBorder="1" applyAlignment="1">
      <alignment horizontal="center"/>
    </xf>
    <xf numFmtId="0" fontId="3" fillId="0" borderId="22" xfId="3" applyFont="1" applyBorder="1" applyAlignment="1">
      <alignment horizontal="center" vertical="center"/>
    </xf>
    <xf numFmtId="0" fontId="3" fillId="0" borderId="23" xfId="3" applyFont="1" applyBorder="1" applyAlignment="1">
      <alignment horizontal="center" vertical="center"/>
    </xf>
    <xf numFmtId="0" fontId="3" fillId="0" borderId="24" xfId="3" applyFont="1" applyBorder="1" applyAlignment="1">
      <alignment horizontal="center" vertical="center"/>
    </xf>
    <xf numFmtId="0" fontId="2" fillId="0" borderId="0" xfId="3" applyAlignment="1">
      <alignment horizontal="center"/>
    </xf>
    <xf numFmtId="0" fontId="3" fillId="2" borderId="25" xfId="3" applyFont="1" applyFill="1" applyBorder="1" applyAlignment="1">
      <alignment horizontal="center"/>
    </xf>
    <xf numFmtId="0" fontId="3" fillId="2" borderId="26" xfId="3" applyFont="1" applyFill="1" applyBorder="1" applyAlignment="1">
      <alignment horizontal="center"/>
    </xf>
    <xf numFmtId="0" fontId="3" fillId="0" borderId="22" xfId="3" applyFont="1" applyBorder="1" applyAlignment="1">
      <alignment horizontal="center"/>
    </xf>
    <xf numFmtId="0" fontId="3" fillId="0" borderId="24" xfId="3" applyFont="1" applyBorder="1" applyAlignment="1">
      <alignment horizontal="center"/>
    </xf>
    <xf numFmtId="0" fontId="3" fillId="0" borderId="0" xfId="3" applyFont="1" applyAlignment="1">
      <alignment horizontal="center" vertical="center" wrapText="1"/>
    </xf>
    <xf numFmtId="0" fontId="3" fillId="0" borderId="23" xfId="3" applyFont="1" applyBorder="1" applyAlignment="1">
      <alignment horizontal="center"/>
    </xf>
    <xf numFmtId="0" fontId="3" fillId="5" borderId="0" xfId="3" applyFont="1" applyFill="1" applyAlignment="1">
      <alignment horizontal="center"/>
    </xf>
    <xf numFmtId="0" fontId="3" fillId="0" borderId="0" xfId="3" applyFont="1" applyAlignment="1">
      <alignment horizontal="center"/>
    </xf>
    <xf numFmtId="0" fontId="3" fillId="0" borderId="0" xfId="0" applyFont="1" applyAlignment="1">
      <alignment horizontal="center" vertical="center"/>
    </xf>
    <xf numFmtId="0" fontId="4" fillId="4" borderId="0" xfId="0" applyFont="1" applyFill="1" applyAlignment="1">
      <alignment horizontal="center" vertical="center"/>
    </xf>
    <xf numFmtId="0" fontId="0" fillId="3" borderId="25" xfId="0" applyFill="1" applyBorder="1" applyAlignment="1">
      <alignment horizontal="center"/>
    </xf>
    <xf numFmtId="0" fontId="0" fillId="3" borderId="27" xfId="0" applyFill="1" applyBorder="1" applyAlignment="1">
      <alignment horizontal="center"/>
    </xf>
    <xf numFmtId="0" fontId="0" fillId="3" borderId="26" xfId="0" applyFill="1" applyBorder="1" applyAlignment="1">
      <alignment horizontal="center"/>
    </xf>
    <xf numFmtId="2" fontId="0" fillId="0" borderId="0" xfId="0" applyNumberFormat="1" applyAlignment="1">
      <alignment horizontal="center"/>
    </xf>
    <xf numFmtId="0" fontId="0" fillId="0" borderId="0" xfId="0" applyAlignment="1"/>
    <xf numFmtId="0" fontId="2" fillId="0" borderId="0" xfId="0" applyFont="1" applyAlignment="1">
      <alignment horizontal="center"/>
    </xf>
    <xf numFmtId="165" fontId="0" fillId="0" borderId="0" xfId="0" applyNumberFormat="1" applyAlignment="1">
      <alignment horizontal="center"/>
    </xf>
    <xf numFmtId="3" fontId="0" fillId="0" borderId="0" xfId="1" applyNumberFormat="1" applyFont="1" applyAlignment="1">
      <alignment horizontal="center"/>
    </xf>
    <xf numFmtId="2" fontId="0" fillId="0" borderId="0" xfId="1" applyNumberFormat="1" applyFont="1" applyAlignment="1">
      <alignment horizontal="center"/>
    </xf>
    <xf numFmtId="168" fontId="0" fillId="0" borderId="0" xfId="1" applyNumberFormat="1" applyFont="1" applyAlignment="1">
      <alignment horizontal="center"/>
    </xf>
    <xf numFmtId="1" fontId="0" fillId="0" borderId="0" xfId="0" applyNumberFormat="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cellXfs>
  <cellStyles count="7">
    <cellStyle name="Comma" xfId="1" builtinId="3"/>
    <cellStyle name="Hyperlink" xfId="2" builtinId="8"/>
    <cellStyle name="Normal" xfId="0" builtinId="0"/>
    <cellStyle name="Normal 2" xfId="3"/>
    <cellStyle name="Normal 3" xfId="5"/>
    <cellStyle name="Percent" xfId="6" builtinId="5"/>
    <cellStyle name="Percent 2" xfId="4"/>
  </cellStyles>
  <dxfs count="12">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lor rgb="FFFF0000"/>
      </font>
    </dxf>
    <dxf>
      <font>
        <b/>
        <i val="0"/>
        <condense val="0"/>
        <extend val="0"/>
        <color indexed="10"/>
      </font>
    </dxf>
    <dxf>
      <font>
        <b/>
        <i val="0"/>
        <condense val="0"/>
        <extend val="0"/>
        <color indexed="10"/>
      </font>
    </dxf>
    <dxf>
      <font>
        <b/>
        <i val="0"/>
        <condense val="0"/>
        <extend val="0"/>
        <color indexed="10"/>
      </font>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CCFF"/>
      <color rgb="FFCC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9.xml"/><Relationship Id="rId4" Type="http://schemas.openxmlformats.org/officeDocument/2006/relationships/worksheet" Target="worksheets/sheet4.xml"/><Relationship Id="rId9" Type="http://schemas.openxmlformats.org/officeDocument/2006/relationships/worksheet" Target="worksheets/sheet8.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Predevelopment</a:t>
            </a:r>
          </a:p>
        </c:rich>
      </c:tx>
      <c:overlay val="0"/>
    </c:title>
    <c:autoTitleDeleted val="0"/>
    <c:plotArea>
      <c:layout/>
      <c:lineChart>
        <c:grouping val="standard"/>
        <c:varyColors val="0"/>
        <c:ser>
          <c:idx val="0"/>
          <c:order val="0"/>
          <c:tx>
            <c:v>Rational</c:v>
          </c:tx>
          <c:marker>
            <c:symbol val="none"/>
          </c:marker>
          <c:val>
            <c:numRef>
              <c:f>'Step 2 Inflow Hydrograph'!$B$57:$B$147</c:f>
              <c:numCache>
                <c:formatCode>0.000</c:formatCode>
                <c:ptCount val="91"/>
                <c:pt idx="0" formatCode="General">
                  <c:v>0</c:v>
                </c:pt>
                <c:pt idx="1">
                  <c:v>5.0353708087487415E-3</c:v>
                </c:pt>
                <c:pt idx="2">
                  <c:v>1.0070741617497483E-2</c:v>
                </c:pt>
                <c:pt idx="3">
                  <c:v>1.5106112426246222E-2</c:v>
                </c:pt>
                <c:pt idx="4">
                  <c:v>2.0141483234994966E-2</c:v>
                </c:pt>
                <c:pt idx="5">
                  <c:v>2.5176854043743705E-2</c:v>
                </c:pt>
                <c:pt idx="6">
                  <c:v>3.0212224852492444E-2</c:v>
                </c:pt>
                <c:pt idx="7">
                  <c:v>3.5247595661241186E-2</c:v>
                </c:pt>
                <c:pt idx="8">
                  <c:v>4.0282966469989932E-2</c:v>
                </c:pt>
                <c:pt idx="9">
                  <c:v>4.5318337278738671E-2</c:v>
                </c:pt>
                <c:pt idx="10">
                  <c:v>5.035370808748741E-2</c:v>
                </c:pt>
                <c:pt idx="11">
                  <c:v>5.5389078896236156E-2</c:v>
                </c:pt>
                <c:pt idx="12">
                  <c:v>6.0424449704984888E-2</c:v>
                </c:pt>
                <c:pt idx="13">
                  <c:v>6.5459820513733641E-2</c:v>
                </c:pt>
                <c:pt idx="14">
                  <c:v>7.0495191322482373E-2</c:v>
                </c:pt>
                <c:pt idx="15">
                  <c:v>7.5530562131231119E-2</c:v>
                </c:pt>
                <c:pt idx="16">
                  <c:v>8.0565932939979865E-2</c:v>
                </c:pt>
                <c:pt idx="17">
                  <c:v>8.5601303748728597E-2</c:v>
                </c:pt>
                <c:pt idx="18">
                  <c:v>9.0636674557477342E-2</c:v>
                </c:pt>
                <c:pt idx="19">
                  <c:v>9.5672045366226074E-2</c:v>
                </c:pt>
                <c:pt idx="20">
                  <c:v>0.10070741617497482</c:v>
                </c:pt>
                <c:pt idx="21">
                  <c:v>9.8083936403546956E-2</c:v>
                </c:pt>
                <c:pt idx="22">
                  <c:v>9.5460456632119092E-2</c:v>
                </c:pt>
                <c:pt idx="23">
                  <c:v>9.2836976860691214E-2</c:v>
                </c:pt>
                <c:pt idx="24">
                  <c:v>9.021349708926335E-2</c:v>
                </c:pt>
                <c:pt idx="25">
                  <c:v>8.7590017317835486E-2</c:v>
                </c:pt>
                <c:pt idx="26">
                  <c:v>8.4966537546407622E-2</c:v>
                </c:pt>
                <c:pt idx="27">
                  <c:v>8.2343057774979744E-2</c:v>
                </c:pt>
                <c:pt idx="28">
                  <c:v>7.9719578003551866E-2</c:v>
                </c:pt>
                <c:pt idx="29">
                  <c:v>7.7096098232124002E-2</c:v>
                </c:pt>
                <c:pt idx="30">
                  <c:v>7.4472618460696138E-2</c:v>
                </c:pt>
                <c:pt idx="31">
                  <c:v>7.1849138689268274E-2</c:v>
                </c:pt>
                <c:pt idx="32">
                  <c:v>6.922565891784041E-2</c:v>
                </c:pt>
                <c:pt idx="33">
                  <c:v>6.6602179146412532E-2</c:v>
                </c:pt>
                <c:pt idx="34">
                  <c:v>6.3978699374984668E-2</c:v>
                </c:pt>
                <c:pt idx="35">
                  <c:v>6.1355219603556804E-2</c:v>
                </c:pt>
                <c:pt idx="36">
                  <c:v>5.8731739832128933E-2</c:v>
                </c:pt>
                <c:pt idx="37">
                  <c:v>5.6108260060701069E-2</c:v>
                </c:pt>
                <c:pt idx="38">
                  <c:v>5.3484780289273205E-2</c:v>
                </c:pt>
                <c:pt idx="39">
                  <c:v>5.0861300517845334E-2</c:v>
                </c:pt>
                <c:pt idx="40">
                  <c:v>4.8237820746417463E-2</c:v>
                </c:pt>
                <c:pt idx="41">
                  <c:v>4.5614340974989592E-2</c:v>
                </c:pt>
                <c:pt idx="42">
                  <c:v>4.2990861203561728E-2</c:v>
                </c:pt>
                <c:pt idx="43">
                  <c:v>4.0367381432133864E-2</c:v>
                </c:pt>
                <c:pt idx="44">
                  <c:v>3.7743901660705993E-2</c:v>
                </c:pt>
                <c:pt idx="45">
                  <c:v>3.5120421889278129E-2</c:v>
                </c:pt>
                <c:pt idx="46">
                  <c:v>3.2496942117850258E-2</c:v>
                </c:pt>
                <c:pt idx="47">
                  <c:v>2.9873462346422387E-2</c:v>
                </c:pt>
                <c:pt idx="48">
                  <c:v>2.724998257499452E-2</c:v>
                </c:pt>
                <c:pt idx="49">
                  <c:v>2.4626502803566652E-2</c:v>
                </c:pt>
                <c:pt idx="50">
                  <c:v>2.2003023032138788E-2</c:v>
                </c:pt>
                <c:pt idx="51">
                  <c:v>1.9379543260710917E-2</c:v>
                </c:pt>
                <c:pt idx="52">
                  <c:v>1.675606348928305E-2</c:v>
                </c:pt>
                <c:pt idx="53">
                  <c:v>1.4132583717855182E-2</c:v>
                </c:pt>
                <c:pt idx="54">
                  <c:v>1.1509103946427315E-2</c:v>
                </c:pt>
                <c:pt idx="55">
                  <c:v>8.8856241749994472E-3</c:v>
                </c:pt>
                <c:pt idx="56">
                  <c:v>6.2621444035715788E-3</c:v>
                </c:pt>
                <c:pt idx="57">
                  <c:v>3.6386646321437113E-3</c:v>
                </c:pt>
                <c:pt idx="58">
                  <c:v>1.0151848607158431E-3</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ser>
        <c:ser>
          <c:idx val="1"/>
          <c:order val="1"/>
          <c:tx>
            <c:v>Modified Rational</c:v>
          </c:tx>
          <c:marker>
            <c:symbol val="none"/>
          </c:marker>
          <c:val>
            <c:numRef>
              <c:f>'Step 2 Inflow Hydrograph'!$C$57:$C$147</c:f>
              <c:numCache>
                <c:formatCode>0.000</c:formatCode>
                <c:ptCount val="91"/>
                <c:pt idx="0" formatCode="General">
                  <c:v>0</c:v>
                </c:pt>
                <c:pt idx="1">
                  <c:v>5.0353708087487415E-3</c:v>
                </c:pt>
                <c:pt idx="2">
                  <c:v>1.0070741617497483E-2</c:v>
                </c:pt>
                <c:pt idx="3">
                  <c:v>1.5106112426246222E-2</c:v>
                </c:pt>
                <c:pt idx="4">
                  <c:v>2.0141483234994966E-2</c:v>
                </c:pt>
                <c:pt idx="5">
                  <c:v>2.5176854043743705E-2</c:v>
                </c:pt>
                <c:pt idx="6">
                  <c:v>3.0212224852492444E-2</c:v>
                </c:pt>
                <c:pt idx="7">
                  <c:v>3.5247595661241186E-2</c:v>
                </c:pt>
                <c:pt idx="8">
                  <c:v>4.0282966469989932E-2</c:v>
                </c:pt>
                <c:pt idx="9">
                  <c:v>4.5318337278738671E-2</c:v>
                </c:pt>
                <c:pt idx="10">
                  <c:v>5.035370808748741E-2</c:v>
                </c:pt>
                <c:pt idx="11">
                  <c:v>5.5389078896236156E-2</c:v>
                </c:pt>
                <c:pt idx="12">
                  <c:v>6.0424449704984888E-2</c:v>
                </c:pt>
                <c:pt idx="13">
                  <c:v>6.5459820513733641E-2</c:v>
                </c:pt>
                <c:pt idx="14">
                  <c:v>7.0495191322482373E-2</c:v>
                </c:pt>
                <c:pt idx="15">
                  <c:v>7.5530562131231119E-2</c:v>
                </c:pt>
                <c:pt idx="16">
                  <c:v>8.0565932939979865E-2</c:v>
                </c:pt>
                <c:pt idx="17">
                  <c:v>8.5601303748728597E-2</c:v>
                </c:pt>
                <c:pt idx="18">
                  <c:v>9.0636674557477342E-2</c:v>
                </c:pt>
                <c:pt idx="19">
                  <c:v>9.5672045366226074E-2</c:v>
                </c:pt>
                <c:pt idx="20">
                  <c:v>0.10070741617497482</c:v>
                </c:pt>
                <c:pt idx="21">
                  <c:v>0.10070741617497482</c:v>
                </c:pt>
                <c:pt idx="22">
                  <c:v>0.10070741617497482</c:v>
                </c:pt>
                <c:pt idx="23">
                  <c:v>0.10070741617497482</c:v>
                </c:pt>
                <c:pt idx="24">
                  <c:v>0.10070741617497482</c:v>
                </c:pt>
                <c:pt idx="25">
                  <c:v>0.10070741617497482</c:v>
                </c:pt>
                <c:pt idx="26">
                  <c:v>0.10070741617497482</c:v>
                </c:pt>
                <c:pt idx="27">
                  <c:v>0.10070741617497482</c:v>
                </c:pt>
                <c:pt idx="28">
                  <c:v>0.10070741617497482</c:v>
                </c:pt>
                <c:pt idx="29">
                  <c:v>0.10070741617497482</c:v>
                </c:pt>
                <c:pt idx="30">
                  <c:v>0.10070741617497482</c:v>
                </c:pt>
                <c:pt idx="31">
                  <c:v>0.10070741617497482</c:v>
                </c:pt>
                <c:pt idx="32">
                  <c:v>0.10070741617497482</c:v>
                </c:pt>
                <c:pt idx="33">
                  <c:v>0.10070741617497482</c:v>
                </c:pt>
                <c:pt idx="34">
                  <c:v>0.10070741617497482</c:v>
                </c:pt>
                <c:pt idx="35">
                  <c:v>0.10070741617497482</c:v>
                </c:pt>
                <c:pt idx="36">
                  <c:v>0.10070741617497482</c:v>
                </c:pt>
                <c:pt idx="37">
                  <c:v>0.10070741617497482</c:v>
                </c:pt>
                <c:pt idx="38">
                  <c:v>0.10070741617497482</c:v>
                </c:pt>
                <c:pt idx="39">
                  <c:v>0.10070741617497482</c:v>
                </c:pt>
                <c:pt idx="40">
                  <c:v>0.10070741617497482</c:v>
                </c:pt>
                <c:pt idx="41">
                  <c:v>0.10070741617497482</c:v>
                </c:pt>
                <c:pt idx="42">
                  <c:v>0.10070741617497482</c:v>
                </c:pt>
                <c:pt idx="43">
                  <c:v>0.10070741617497482</c:v>
                </c:pt>
                <c:pt idx="44">
                  <c:v>0.10070741617497482</c:v>
                </c:pt>
                <c:pt idx="45">
                  <c:v>0.10070741617497482</c:v>
                </c:pt>
                <c:pt idx="46">
                  <c:v>0.10070741617497482</c:v>
                </c:pt>
                <c:pt idx="47">
                  <c:v>0.10070741617497482</c:v>
                </c:pt>
                <c:pt idx="48">
                  <c:v>0.10070741617497482</c:v>
                </c:pt>
                <c:pt idx="49">
                  <c:v>0.10070741617497482</c:v>
                </c:pt>
                <c:pt idx="50">
                  <c:v>0.10070741617497482</c:v>
                </c:pt>
                <c:pt idx="51">
                  <c:v>0.10070741617497482</c:v>
                </c:pt>
                <c:pt idx="52">
                  <c:v>0.10070741617497482</c:v>
                </c:pt>
                <c:pt idx="53">
                  <c:v>0.10070741617497482</c:v>
                </c:pt>
                <c:pt idx="54">
                  <c:v>0.10070741617497482</c:v>
                </c:pt>
                <c:pt idx="55">
                  <c:v>0.10070741617497482</c:v>
                </c:pt>
                <c:pt idx="56">
                  <c:v>0.10070741617497482</c:v>
                </c:pt>
                <c:pt idx="57">
                  <c:v>0.10070741617497482</c:v>
                </c:pt>
                <c:pt idx="58">
                  <c:v>0.10070741617497482</c:v>
                </c:pt>
                <c:pt idx="59">
                  <c:v>0.10070741617497482</c:v>
                </c:pt>
                <c:pt idx="60">
                  <c:v>0.10070741617497482</c:v>
                </c:pt>
                <c:pt idx="61">
                  <c:v>9.5672045366226074E-2</c:v>
                </c:pt>
                <c:pt idx="62">
                  <c:v>9.0636674557477342E-2</c:v>
                </c:pt>
                <c:pt idx="63">
                  <c:v>8.5601303748728597E-2</c:v>
                </c:pt>
                <c:pt idx="64">
                  <c:v>8.0565932939979865E-2</c:v>
                </c:pt>
                <c:pt idx="65">
                  <c:v>7.5530562131231119E-2</c:v>
                </c:pt>
                <c:pt idx="66">
                  <c:v>7.0495191322482373E-2</c:v>
                </c:pt>
                <c:pt idx="67">
                  <c:v>6.5459820513733641E-2</c:v>
                </c:pt>
                <c:pt idx="68">
                  <c:v>6.0424449704984888E-2</c:v>
                </c:pt>
                <c:pt idx="69">
                  <c:v>5.5389078896236156E-2</c:v>
                </c:pt>
                <c:pt idx="70">
                  <c:v>5.035370808748741E-2</c:v>
                </c:pt>
                <c:pt idx="71">
                  <c:v>4.5318337278738671E-2</c:v>
                </c:pt>
                <c:pt idx="72">
                  <c:v>4.0282966469989932E-2</c:v>
                </c:pt>
                <c:pt idx="73">
                  <c:v>3.5247595661241186E-2</c:v>
                </c:pt>
                <c:pt idx="74">
                  <c:v>3.0212224852492444E-2</c:v>
                </c:pt>
                <c:pt idx="75">
                  <c:v>2.5176854043743705E-2</c:v>
                </c:pt>
                <c:pt idx="76">
                  <c:v>2.0141483234994966E-2</c:v>
                </c:pt>
                <c:pt idx="77">
                  <c:v>1.5106112426246222E-2</c:v>
                </c:pt>
                <c:pt idx="78">
                  <c:v>1.0070741617497483E-2</c:v>
                </c:pt>
                <c:pt idx="79">
                  <c:v>5.0353708087487415E-3</c:v>
                </c:pt>
                <c:pt idx="80">
                  <c:v>0</c:v>
                </c:pt>
                <c:pt idx="81">
                  <c:v>0</c:v>
                </c:pt>
                <c:pt idx="82">
                  <c:v>0</c:v>
                </c:pt>
                <c:pt idx="83">
                  <c:v>0</c:v>
                </c:pt>
                <c:pt idx="84">
                  <c:v>0</c:v>
                </c:pt>
                <c:pt idx="85">
                  <c:v>0</c:v>
                </c:pt>
                <c:pt idx="86">
                  <c:v>0</c:v>
                </c:pt>
                <c:pt idx="87">
                  <c:v>0</c:v>
                </c:pt>
                <c:pt idx="88">
                  <c:v>0</c:v>
                </c:pt>
                <c:pt idx="89">
                  <c:v>0</c:v>
                </c:pt>
                <c:pt idx="90">
                  <c:v>0</c:v>
                </c:pt>
              </c:numCache>
            </c:numRef>
          </c:val>
          <c:smooth val="0"/>
        </c:ser>
        <c:ser>
          <c:idx val="2"/>
          <c:order val="2"/>
          <c:tx>
            <c:v>SCS</c:v>
          </c:tx>
          <c:marker>
            <c:symbol val="none"/>
          </c:marker>
          <c:val>
            <c:numRef>
              <c:f>'Step 2 Inflow Hydrograph'!$D$57:$D$147</c:f>
              <c:numCache>
                <c:formatCode>0.000</c:formatCode>
                <c:ptCount val="91"/>
                <c:pt idx="0">
                  <c:v>0</c:v>
                </c:pt>
                <c:pt idx="1">
                  <c:v>4.8337150540435653E-3</c:v>
                </c:pt>
                <c:pt idx="2">
                  <c:v>1.6112383513478552E-2</c:v>
                </c:pt>
                <c:pt idx="3">
                  <c:v>3.0613528675609247E-2</c:v>
                </c:pt>
                <c:pt idx="4">
                  <c:v>4.9948388891783504E-2</c:v>
                </c:pt>
                <c:pt idx="5">
                  <c:v>7.5728202513349191E-2</c:v>
                </c:pt>
                <c:pt idx="6">
                  <c:v>0.10634173118895844</c:v>
                </c:pt>
                <c:pt idx="7">
                  <c:v>0.1321215448105241</c:v>
                </c:pt>
                <c:pt idx="8">
                  <c:v>0.14984516667535053</c:v>
                </c:pt>
                <c:pt idx="9">
                  <c:v>0.15951259678343765</c:v>
                </c:pt>
                <c:pt idx="10">
                  <c:v>0.16112383513478551</c:v>
                </c:pt>
                <c:pt idx="11">
                  <c:v>0.15951259678343765</c:v>
                </c:pt>
                <c:pt idx="12">
                  <c:v>0.14984516667535053</c:v>
                </c:pt>
                <c:pt idx="13">
                  <c:v>0.13856649821591555</c:v>
                </c:pt>
                <c:pt idx="14">
                  <c:v>0.12567659140513271</c:v>
                </c:pt>
                <c:pt idx="15">
                  <c:v>0.10956420789165415</c:v>
                </c:pt>
                <c:pt idx="16">
                  <c:v>9.0229347675479896E-2</c:v>
                </c:pt>
                <c:pt idx="17">
                  <c:v>7.6533821689023118E-2</c:v>
                </c:pt>
                <c:pt idx="18">
                  <c:v>6.2838295702566355E-2</c:v>
                </c:pt>
                <c:pt idx="19">
                  <c:v>5.3976484770153155E-2</c:v>
                </c:pt>
                <c:pt idx="20">
                  <c:v>4.5114673837739948E-2</c:v>
                </c:pt>
                <c:pt idx="21">
                  <c:v>3.9233653855320273E-2</c:v>
                </c:pt>
                <c:pt idx="22">
                  <c:v>3.3352633872900599E-2</c:v>
                </c:pt>
                <c:pt idx="23">
                  <c:v>2.8518918818857035E-2</c:v>
                </c:pt>
                <c:pt idx="24">
                  <c:v>2.3685203764813468E-2</c:v>
                </c:pt>
                <c:pt idx="25">
                  <c:v>2.0462727062117759E-2</c:v>
                </c:pt>
                <c:pt idx="26">
                  <c:v>1.724025035942205E-2</c:v>
                </c:pt>
                <c:pt idx="27">
                  <c:v>1.4823392832400268E-2</c:v>
                </c:pt>
                <c:pt idx="28">
                  <c:v>1.2406535305378484E-2</c:v>
                </c:pt>
                <c:pt idx="29">
                  <c:v>1.0634173118895845E-2</c:v>
                </c:pt>
                <c:pt idx="30">
                  <c:v>8.8618109324132034E-3</c:v>
                </c:pt>
                <c:pt idx="31">
                  <c:v>7.895067921604491E-3</c:v>
                </c:pt>
                <c:pt idx="32">
                  <c:v>6.9283249107957769E-3</c:v>
                </c:pt>
                <c:pt idx="33">
                  <c:v>5.9615818999870646E-3</c:v>
                </c:pt>
                <c:pt idx="34">
                  <c:v>4.9948388891783513E-3</c:v>
                </c:pt>
                <c:pt idx="35">
                  <c:v>4.0280958783696381E-3</c:v>
                </c:pt>
                <c:pt idx="36">
                  <c:v>3.5769491399922386E-3</c:v>
                </c:pt>
                <c:pt idx="37">
                  <c:v>3.125802401614839E-3</c:v>
                </c:pt>
                <c:pt idx="38">
                  <c:v>2.6746556632374395E-3</c:v>
                </c:pt>
                <c:pt idx="39">
                  <c:v>2.22350892486004E-3</c:v>
                </c:pt>
                <c:pt idx="40">
                  <c:v>1.7723621864826405E-3</c:v>
                </c:pt>
                <c:pt idx="41">
                  <c:v>1.5790135843208979E-3</c:v>
                </c:pt>
                <c:pt idx="42">
                  <c:v>1.3856649821591552E-3</c:v>
                </c:pt>
                <c:pt idx="43">
                  <c:v>1.1923163799974128E-3</c:v>
                </c:pt>
                <c:pt idx="44">
                  <c:v>9.9896777783567013E-4</c:v>
                </c:pt>
                <c:pt idx="45">
                  <c:v>8.0561917567392759E-4</c:v>
                </c:pt>
                <c:pt idx="46">
                  <c:v>6.4449534053914205E-4</c:v>
                </c:pt>
                <c:pt idx="47">
                  <c:v>4.8337150540435657E-4</c:v>
                </c:pt>
                <c:pt idx="48">
                  <c:v>3.2224767026957108E-4</c:v>
                </c:pt>
                <c:pt idx="49">
                  <c:v>1.6112383513478554E-4</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ser>
        <c:ser>
          <c:idx val="3"/>
          <c:order val="3"/>
          <c:tx>
            <c:v>SCS Vol Corrected</c:v>
          </c:tx>
          <c:marker>
            <c:symbol val="none"/>
          </c:marker>
          <c:val>
            <c:numRef>
              <c:f>'Step 2 Inflow Hydrograph'!$E$57:$E$147</c:f>
              <c:numCache>
                <c:formatCode>0.000</c:formatCode>
                <c:ptCount val="91"/>
                <c:pt idx="0">
                  <c:v>0</c:v>
                </c:pt>
                <c:pt idx="1">
                  <c:v>6.5852839063724952E-3</c:v>
                </c:pt>
                <c:pt idx="2">
                  <c:v>2.1950946354574986E-2</c:v>
                </c:pt>
                <c:pt idx="3">
                  <c:v>4.1706798073692465E-2</c:v>
                </c:pt>
                <c:pt idx="4">
                  <c:v>6.8047933699182439E-2</c:v>
                </c:pt>
                <c:pt idx="5">
                  <c:v>0.10316944786650242</c:v>
                </c:pt>
                <c:pt idx="6">
                  <c:v>0.14487624594019491</c:v>
                </c:pt>
                <c:pt idx="7">
                  <c:v>0.17999776010751484</c:v>
                </c:pt>
                <c:pt idx="8">
                  <c:v>0.20414380109754734</c:v>
                </c:pt>
                <c:pt idx="9">
                  <c:v>0.21731436891029232</c:v>
                </c:pt>
                <c:pt idx="10">
                  <c:v>0.21950946354574982</c:v>
                </c:pt>
                <c:pt idx="11">
                  <c:v>0.21731436891029232</c:v>
                </c:pt>
                <c:pt idx="12">
                  <c:v>0.20414380109754734</c:v>
                </c:pt>
                <c:pt idx="13">
                  <c:v>0.18877813864934487</c:v>
                </c:pt>
                <c:pt idx="14">
                  <c:v>0.17121738156568489</c:v>
                </c:pt>
                <c:pt idx="15">
                  <c:v>0.14926643521110988</c:v>
                </c:pt>
                <c:pt idx="16">
                  <c:v>0.12292529958561992</c:v>
                </c:pt>
                <c:pt idx="17">
                  <c:v>0.10426699518423119</c:v>
                </c:pt>
                <c:pt idx="18">
                  <c:v>8.5608690782842445E-2</c:v>
                </c:pt>
                <c:pt idx="19">
                  <c:v>7.3535670287826205E-2</c:v>
                </c:pt>
                <c:pt idx="20">
                  <c:v>6.1462649792809958E-2</c:v>
                </c:pt>
                <c:pt idx="21">
                  <c:v>5.345055437339008E-2</c:v>
                </c:pt>
                <c:pt idx="22">
                  <c:v>4.5438458953970209E-2</c:v>
                </c:pt>
                <c:pt idx="23">
                  <c:v>3.8853175047597721E-2</c:v>
                </c:pt>
                <c:pt idx="24">
                  <c:v>3.2267891141225226E-2</c:v>
                </c:pt>
                <c:pt idx="25">
                  <c:v>2.7877701870310231E-2</c:v>
                </c:pt>
                <c:pt idx="26">
                  <c:v>2.3487512599395233E-2</c:v>
                </c:pt>
                <c:pt idx="27">
                  <c:v>2.0194870646208986E-2</c:v>
                </c:pt>
                <c:pt idx="28">
                  <c:v>1.6902228693022738E-2</c:v>
                </c:pt>
                <c:pt idx="29">
                  <c:v>1.4487624594019491E-2</c:v>
                </c:pt>
                <c:pt idx="30">
                  <c:v>1.2073020495016242E-2</c:v>
                </c:pt>
                <c:pt idx="31">
                  <c:v>1.0755963713741743E-2</c:v>
                </c:pt>
                <c:pt idx="32">
                  <c:v>9.4389069324672427E-3</c:v>
                </c:pt>
                <c:pt idx="33">
                  <c:v>8.1218501511927457E-3</c:v>
                </c:pt>
                <c:pt idx="34">
                  <c:v>6.8047933699182453E-3</c:v>
                </c:pt>
                <c:pt idx="35">
                  <c:v>5.4877365886437466E-3</c:v>
                </c:pt>
                <c:pt idx="36">
                  <c:v>4.8731100907156467E-3</c:v>
                </c:pt>
                <c:pt idx="37">
                  <c:v>4.2584835927875469E-3</c:v>
                </c:pt>
                <c:pt idx="38">
                  <c:v>3.6438570948594475E-3</c:v>
                </c:pt>
                <c:pt idx="39">
                  <c:v>3.029230596931348E-3</c:v>
                </c:pt>
                <c:pt idx="40">
                  <c:v>2.4146040990032482E-3</c:v>
                </c:pt>
                <c:pt idx="41">
                  <c:v>2.1511927427483486E-3</c:v>
                </c:pt>
                <c:pt idx="42">
                  <c:v>1.8877813864934486E-3</c:v>
                </c:pt>
                <c:pt idx="43">
                  <c:v>1.6243700302385488E-3</c:v>
                </c:pt>
                <c:pt idx="44">
                  <c:v>1.3609586739836491E-3</c:v>
                </c:pt>
                <c:pt idx="45">
                  <c:v>1.0975473177287493E-3</c:v>
                </c:pt>
                <c:pt idx="46">
                  <c:v>8.7803785418299942E-4</c:v>
                </c:pt>
                <c:pt idx="47">
                  <c:v>6.5852839063724957E-4</c:v>
                </c:pt>
                <c:pt idx="48">
                  <c:v>4.3901892709149971E-4</c:v>
                </c:pt>
                <c:pt idx="49">
                  <c:v>2.1950946354574986E-4</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ser>
        <c:dLbls>
          <c:showLegendKey val="0"/>
          <c:showVal val="0"/>
          <c:showCatName val="0"/>
          <c:showSerName val="0"/>
          <c:showPercent val="0"/>
          <c:showBubbleSize val="0"/>
        </c:dLbls>
        <c:marker val="1"/>
        <c:smooth val="0"/>
        <c:axId val="40798464"/>
        <c:axId val="40804736"/>
      </c:lineChart>
      <c:catAx>
        <c:axId val="40798464"/>
        <c:scaling>
          <c:orientation val="minMax"/>
        </c:scaling>
        <c:delete val="0"/>
        <c:axPos val="b"/>
        <c:title>
          <c:tx>
            <c:rich>
              <a:bodyPr/>
              <a:lstStyle/>
              <a:p>
                <a:pPr>
                  <a:defRPr/>
                </a:pPr>
                <a:r>
                  <a:rPr lang="en-US"/>
                  <a:t>Time Step</a:t>
                </a:r>
              </a:p>
            </c:rich>
          </c:tx>
          <c:overlay val="0"/>
        </c:title>
        <c:majorTickMark val="out"/>
        <c:minorTickMark val="none"/>
        <c:tickLblPos val="nextTo"/>
        <c:crossAx val="40804736"/>
        <c:crosses val="autoZero"/>
        <c:auto val="1"/>
        <c:lblAlgn val="ctr"/>
        <c:lblOffset val="100"/>
        <c:noMultiLvlLbl val="0"/>
      </c:catAx>
      <c:valAx>
        <c:axId val="40804736"/>
        <c:scaling>
          <c:orientation val="minMax"/>
        </c:scaling>
        <c:delete val="0"/>
        <c:axPos val="l"/>
        <c:majorGridlines/>
        <c:title>
          <c:tx>
            <c:rich>
              <a:bodyPr rot="-5400000" vert="horz"/>
              <a:lstStyle/>
              <a:p>
                <a:pPr>
                  <a:defRPr/>
                </a:pPr>
                <a:r>
                  <a:rPr lang="en-US"/>
                  <a:t>Flow (cms)</a:t>
                </a:r>
              </a:p>
            </c:rich>
          </c:tx>
          <c:overlay val="0"/>
        </c:title>
        <c:numFmt formatCode="General" sourceLinked="1"/>
        <c:majorTickMark val="out"/>
        <c:minorTickMark val="none"/>
        <c:tickLblPos val="nextTo"/>
        <c:crossAx val="40798464"/>
        <c:crosses val="autoZero"/>
        <c:crossBetween val="between"/>
      </c:valAx>
    </c:plotArea>
    <c:legend>
      <c:legendPos val="b"/>
      <c:overlay val="0"/>
    </c:legend>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Postdevelopment</a:t>
            </a:r>
          </a:p>
        </c:rich>
      </c:tx>
      <c:overlay val="0"/>
    </c:title>
    <c:autoTitleDeleted val="0"/>
    <c:plotArea>
      <c:layout/>
      <c:lineChart>
        <c:grouping val="standard"/>
        <c:varyColors val="0"/>
        <c:ser>
          <c:idx val="0"/>
          <c:order val="0"/>
          <c:tx>
            <c:v>Rational</c:v>
          </c:tx>
          <c:marker>
            <c:symbol val="none"/>
          </c:marker>
          <c:val>
            <c:numRef>
              <c:f>'Step 2 Inflow Hydrograph'!$H$57:$H$147</c:f>
              <c:numCache>
                <c:formatCode>0.000</c:formatCode>
                <c:ptCount val="91"/>
                <c:pt idx="0" formatCode="General">
                  <c:v>0</c:v>
                </c:pt>
                <c:pt idx="1">
                  <c:v>2.0399459780126476E-2</c:v>
                </c:pt>
                <c:pt idx="2">
                  <c:v>4.0798919560252951E-2</c:v>
                </c:pt>
                <c:pt idx="3">
                  <c:v>6.119837934037943E-2</c:v>
                </c:pt>
                <c:pt idx="4">
                  <c:v>8.1597839120505902E-2</c:v>
                </c:pt>
                <c:pt idx="5">
                  <c:v>0.10199729890063237</c:v>
                </c:pt>
                <c:pt idx="6">
                  <c:v>0.12239675868075886</c:v>
                </c:pt>
                <c:pt idx="7">
                  <c:v>0.14279621846088533</c:v>
                </c:pt>
                <c:pt idx="8">
                  <c:v>0.1631956782410118</c:v>
                </c:pt>
                <c:pt idx="9">
                  <c:v>0.18359513802113828</c:v>
                </c:pt>
                <c:pt idx="10">
                  <c:v>0.20399459780126475</c:v>
                </c:pt>
                <c:pt idx="11">
                  <c:v>0.22439405758139122</c:v>
                </c:pt>
                <c:pt idx="12">
                  <c:v>0.24479351736151772</c:v>
                </c:pt>
                <c:pt idx="13">
                  <c:v>0.26519297714164419</c:v>
                </c:pt>
                <c:pt idx="14">
                  <c:v>0.28559243692177066</c:v>
                </c:pt>
                <c:pt idx="15">
                  <c:v>0.30599189670189714</c:v>
                </c:pt>
                <c:pt idx="16">
                  <c:v>0.29673077749684479</c:v>
                </c:pt>
                <c:pt idx="17">
                  <c:v>0.28746965829179244</c:v>
                </c:pt>
                <c:pt idx="18">
                  <c:v>0.27820853908674009</c:v>
                </c:pt>
                <c:pt idx="19">
                  <c:v>0.26894741988168774</c:v>
                </c:pt>
                <c:pt idx="20">
                  <c:v>0.2596863006766354</c:v>
                </c:pt>
                <c:pt idx="21">
                  <c:v>0.25042518147158305</c:v>
                </c:pt>
                <c:pt idx="22">
                  <c:v>0.24116406226653073</c:v>
                </c:pt>
                <c:pt idx="23">
                  <c:v>0.23190294306147835</c:v>
                </c:pt>
                <c:pt idx="24">
                  <c:v>0.22264182385642603</c:v>
                </c:pt>
                <c:pt idx="25">
                  <c:v>0.21338070465137368</c:v>
                </c:pt>
                <c:pt idx="26">
                  <c:v>0.20411958544632133</c:v>
                </c:pt>
                <c:pt idx="27">
                  <c:v>0.19485846624126896</c:v>
                </c:pt>
                <c:pt idx="28">
                  <c:v>0.18559734703621664</c:v>
                </c:pt>
                <c:pt idx="29">
                  <c:v>0.17633622783116429</c:v>
                </c:pt>
                <c:pt idx="30">
                  <c:v>0.16707510862611194</c:v>
                </c:pt>
                <c:pt idx="31">
                  <c:v>0.15781398942105962</c:v>
                </c:pt>
                <c:pt idx="32">
                  <c:v>0.14855287021600724</c:v>
                </c:pt>
                <c:pt idx="33">
                  <c:v>0.1392917510109549</c:v>
                </c:pt>
                <c:pt idx="34">
                  <c:v>0.13003063180590257</c:v>
                </c:pt>
                <c:pt idx="35">
                  <c:v>0.1207695126008502</c:v>
                </c:pt>
                <c:pt idx="36">
                  <c:v>0.11150839339579786</c:v>
                </c:pt>
                <c:pt idx="37">
                  <c:v>0.10224727419074552</c:v>
                </c:pt>
                <c:pt idx="38">
                  <c:v>9.2986154985693167E-2</c:v>
                </c:pt>
                <c:pt idx="39">
                  <c:v>8.3725035780640833E-2</c:v>
                </c:pt>
                <c:pt idx="40">
                  <c:v>7.4463916575588471E-2</c:v>
                </c:pt>
                <c:pt idx="41">
                  <c:v>6.5202797370536122E-2</c:v>
                </c:pt>
                <c:pt idx="42">
                  <c:v>5.5941678165483781E-2</c:v>
                </c:pt>
                <c:pt idx="43">
                  <c:v>4.668055896043144E-2</c:v>
                </c:pt>
                <c:pt idx="44">
                  <c:v>3.7419439755379091E-2</c:v>
                </c:pt>
                <c:pt idx="45">
                  <c:v>2.8158320550326747E-2</c:v>
                </c:pt>
                <c:pt idx="46">
                  <c:v>1.8897201345274402E-2</c:v>
                </c:pt>
                <c:pt idx="47">
                  <c:v>9.6360821402220534E-3</c:v>
                </c:pt>
                <c:pt idx="48">
                  <c:v>3.7496293516970698E-4</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ser>
        <c:ser>
          <c:idx val="1"/>
          <c:order val="1"/>
          <c:tx>
            <c:v>Modified Rational</c:v>
          </c:tx>
          <c:marker>
            <c:symbol val="none"/>
          </c:marker>
          <c:val>
            <c:numRef>
              <c:f>'Step 2 Inflow Hydrograph'!$I$57:$I$147</c:f>
              <c:numCache>
                <c:formatCode>0.000</c:formatCode>
                <c:ptCount val="91"/>
                <c:pt idx="0" formatCode="General">
                  <c:v>0</c:v>
                </c:pt>
                <c:pt idx="1">
                  <c:v>2.0399459780126476E-2</c:v>
                </c:pt>
                <c:pt idx="2">
                  <c:v>4.0798919560252951E-2</c:v>
                </c:pt>
                <c:pt idx="3">
                  <c:v>6.119837934037943E-2</c:v>
                </c:pt>
                <c:pt idx="4">
                  <c:v>8.1597839120505902E-2</c:v>
                </c:pt>
                <c:pt idx="5">
                  <c:v>0.10199729890063237</c:v>
                </c:pt>
                <c:pt idx="6">
                  <c:v>0.12239675868075886</c:v>
                </c:pt>
                <c:pt idx="7">
                  <c:v>0.14279621846088533</c:v>
                </c:pt>
                <c:pt idx="8">
                  <c:v>0.1631956782410118</c:v>
                </c:pt>
                <c:pt idx="9">
                  <c:v>0.18359513802113828</c:v>
                </c:pt>
                <c:pt idx="10">
                  <c:v>0.20399459780126475</c:v>
                </c:pt>
                <c:pt idx="11">
                  <c:v>0.22439405758139122</c:v>
                </c:pt>
                <c:pt idx="12">
                  <c:v>0.24479351736151772</c:v>
                </c:pt>
                <c:pt idx="13">
                  <c:v>0.26519297714164419</c:v>
                </c:pt>
                <c:pt idx="14">
                  <c:v>0.28559243692177066</c:v>
                </c:pt>
                <c:pt idx="15">
                  <c:v>0.30599189670189714</c:v>
                </c:pt>
                <c:pt idx="16">
                  <c:v>0.30599189670189714</c:v>
                </c:pt>
                <c:pt idx="17">
                  <c:v>0.30599189670189714</c:v>
                </c:pt>
                <c:pt idx="18">
                  <c:v>0.30599189670189714</c:v>
                </c:pt>
                <c:pt idx="19">
                  <c:v>0.30599189670189714</c:v>
                </c:pt>
                <c:pt idx="20">
                  <c:v>0.30599189670189714</c:v>
                </c:pt>
                <c:pt idx="21">
                  <c:v>0.30599189670189714</c:v>
                </c:pt>
                <c:pt idx="22">
                  <c:v>0.30599189670189714</c:v>
                </c:pt>
                <c:pt idx="23">
                  <c:v>0.30599189670189714</c:v>
                </c:pt>
                <c:pt idx="24">
                  <c:v>0.30599189670189714</c:v>
                </c:pt>
                <c:pt idx="25">
                  <c:v>0.30599189670189714</c:v>
                </c:pt>
                <c:pt idx="26">
                  <c:v>0.30599189670189714</c:v>
                </c:pt>
                <c:pt idx="27">
                  <c:v>0.30599189670189714</c:v>
                </c:pt>
                <c:pt idx="28">
                  <c:v>0.30599189670189714</c:v>
                </c:pt>
                <c:pt idx="29">
                  <c:v>0.30599189670189714</c:v>
                </c:pt>
                <c:pt idx="30">
                  <c:v>0.30599189670189714</c:v>
                </c:pt>
                <c:pt idx="31">
                  <c:v>0.30599189670189714</c:v>
                </c:pt>
                <c:pt idx="32">
                  <c:v>0.30599189670189714</c:v>
                </c:pt>
                <c:pt idx="33">
                  <c:v>0.30599189670189714</c:v>
                </c:pt>
                <c:pt idx="34">
                  <c:v>0.30599189670189714</c:v>
                </c:pt>
                <c:pt idx="35">
                  <c:v>0.30599189670189714</c:v>
                </c:pt>
                <c:pt idx="36">
                  <c:v>0.30599189670189714</c:v>
                </c:pt>
                <c:pt idx="37">
                  <c:v>0.30599189670189714</c:v>
                </c:pt>
                <c:pt idx="38">
                  <c:v>0.30599189670189714</c:v>
                </c:pt>
                <c:pt idx="39">
                  <c:v>0.30599189670189714</c:v>
                </c:pt>
                <c:pt idx="40">
                  <c:v>0.30599189670189714</c:v>
                </c:pt>
                <c:pt idx="41">
                  <c:v>0.30599189670189714</c:v>
                </c:pt>
                <c:pt idx="42">
                  <c:v>0.30599189670189714</c:v>
                </c:pt>
                <c:pt idx="43">
                  <c:v>0.30599189670189714</c:v>
                </c:pt>
                <c:pt idx="44">
                  <c:v>0.30599189670189714</c:v>
                </c:pt>
                <c:pt idx="45">
                  <c:v>0.30599189670189714</c:v>
                </c:pt>
                <c:pt idx="46">
                  <c:v>0.30599189670189714</c:v>
                </c:pt>
                <c:pt idx="47">
                  <c:v>0.30599189670189714</c:v>
                </c:pt>
                <c:pt idx="48">
                  <c:v>0.30599189670189714</c:v>
                </c:pt>
                <c:pt idx="49">
                  <c:v>0.30599189670189714</c:v>
                </c:pt>
                <c:pt idx="50">
                  <c:v>0.30599189670189714</c:v>
                </c:pt>
                <c:pt idx="51">
                  <c:v>0.30599189670189714</c:v>
                </c:pt>
                <c:pt idx="52">
                  <c:v>0.30599189670189714</c:v>
                </c:pt>
                <c:pt idx="53">
                  <c:v>0.30599189670189714</c:v>
                </c:pt>
                <c:pt idx="54">
                  <c:v>0.30599189670189714</c:v>
                </c:pt>
                <c:pt idx="55">
                  <c:v>0.30599189670189714</c:v>
                </c:pt>
                <c:pt idx="56">
                  <c:v>0.30599189670189714</c:v>
                </c:pt>
                <c:pt idx="57">
                  <c:v>0.30599189670189714</c:v>
                </c:pt>
                <c:pt idx="58">
                  <c:v>0.30599189670189714</c:v>
                </c:pt>
                <c:pt idx="59">
                  <c:v>0.30599189670189714</c:v>
                </c:pt>
                <c:pt idx="60">
                  <c:v>0.30599189670189714</c:v>
                </c:pt>
                <c:pt idx="61">
                  <c:v>0.28559243692177066</c:v>
                </c:pt>
                <c:pt idx="62">
                  <c:v>0.26519297714164419</c:v>
                </c:pt>
                <c:pt idx="63">
                  <c:v>0.24479351736151772</c:v>
                </c:pt>
                <c:pt idx="64">
                  <c:v>0.22439405758139122</c:v>
                </c:pt>
                <c:pt idx="65">
                  <c:v>0.20399459780126475</c:v>
                </c:pt>
                <c:pt idx="66">
                  <c:v>0.18359513802113828</c:v>
                </c:pt>
                <c:pt idx="67">
                  <c:v>0.1631956782410118</c:v>
                </c:pt>
                <c:pt idx="68">
                  <c:v>0.14279621846088533</c:v>
                </c:pt>
                <c:pt idx="69">
                  <c:v>0.12239675868075886</c:v>
                </c:pt>
                <c:pt idx="70">
                  <c:v>0.10199729890063237</c:v>
                </c:pt>
                <c:pt idx="71">
                  <c:v>8.1597839120505902E-2</c:v>
                </c:pt>
                <c:pt idx="72">
                  <c:v>6.119837934037943E-2</c:v>
                </c:pt>
                <c:pt idx="73">
                  <c:v>4.0798919560252951E-2</c:v>
                </c:pt>
                <c:pt idx="74">
                  <c:v>2.0399459780126476E-2</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ser>
        <c:ser>
          <c:idx val="2"/>
          <c:order val="2"/>
          <c:tx>
            <c:v>SCS</c:v>
          </c:tx>
          <c:marker>
            <c:symbol val="none"/>
          </c:marker>
          <c:val>
            <c:numRef>
              <c:f>'Step 2 Inflow Hydrograph'!$J$57:$J$147</c:f>
              <c:numCache>
                <c:formatCode>0.000</c:formatCode>
                <c:ptCount val="91"/>
                <c:pt idx="0">
                  <c:v>0</c:v>
                </c:pt>
                <c:pt idx="1">
                  <c:v>1.2084287635108914E-2</c:v>
                </c:pt>
                <c:pt idx="2">
                  <c:v>4.0280958783696384E-2</c:v>
                </c:pt>
                <c:pt idx="3">
                  <c:v>7.6533821689023118E-2</c:v>
                </c:pt>
                <c:pt idx="4">
                  <c:v>0.12487097222945878</c:v>
                </c:pt>
                <c:pt idx="5">
                  <c:v>0.18932050628337296</c:v>
                </c:pt>
                <c:pt idx="6">
                  <c:v>0.26585432797239611</c:v>
                </c:pt>
                <c:pt idx="7">
                  <c:v>0.33030386202631029</c:v>
                </c:pt>
                <c:pt idx="8">
                  <c:v>0.37461291668837637</c:v>
                </c:pt>
                <c:pt idx="9">
                  <c:v>0.39878149195859414</c:v>
                </c:pt>
                <c:pt idx="10">
                  <c:v>0.4028095878369638</c:v>
                </c:pt>
                <c:pt idx="11">
                  <c:v>0.39878149195859414</c:v>
                </c:pt>
                <c:pt idx="12">
                  <c:v>0.37461291668837637</c:v>
                </c:pt>
                <c:pt idx="13">
                  <c:v>0.34641624553978884</c:v>
                </c:pt>
                <c:pt idx="14">
                  <c:v>0.3141914785128318</c:v>
                </c:pt>
                <c:pt idx="15">
                  <c:v>0.27391051972913538</c:v>
                </c:pt>
                <c:pt idx="16">
                  <c:v>0.22557336918869975</c:v>
                </c:pt>
                <c:pt idx="17">
                  <c:v>0.19133455422255782</c:v>
                </c:pt>
                <c:pt idx="18">
                  <c:v>0.1570957392564159</c:v>
                </c:pt>
                <c:pt idx="19">
                  <c:v>0.13494121192538289</c:v>
                </c:pt>
                <c:pt idx="20">
                  <c:v>0.11278668459434987</c:v>
                </c:pt>
                <c:pt idx="21">
                  <c:v>9.808413463830068E-2</c:v>
                </c:pt>
                <c:pt idx="22">
                  <c:v>8.33815846822515E-2</c:v>
                </c:pt>
                <c:pt idx="23">
                  <c:v>7.1297297047142591E-2</c:v>
                </c:pt>
                <c:pt idx="24">
                  <c:v>5.9213009412033675E-2</c:v>
                </c:pt>
                <c:pt idx="25">
                  <c:v>5.1156817655294395E-2</c:v>
                </c:pt>
                <c:pt idx="26">
                  <c:v>4.3100625898555123E-2</c:v>
                </c:pt>
                <c:pt idx="27">
                  <c:v>3.7058482081000668E-2</c:v>
                </c:pt>
                <c:pt idx="28">
                  <c:v>3.1016338263446214E-2</c:v>
                </c:pt>
                <c:pt idx="29">
                  <c:v>2.6585432797239614E-2</c:v>
                </c:pt>
                <c:pt idx="30">
                  <c:v>2.215452733103301E-2</c:v>
                </c:pt>
                <c:pt idx="31">
                  <c:v>1.9737669804011228E-2</c:v>
                </c:pt>
                <c:pt idx="32">
                  <c:v>1.7320812276989443E-2</c:v>
                </c:pt>
                <c:pt idx="33">
                  <c:v>1.4903954749967661E-2</c:v>
                </c:pt>
                <c:pt idx="34">
                  <c:v>1.248709722294588E-2</c:v>
                </c:pt>
                <c:pt idx="35">
                  <c:v>1.0070239695924096E-2</c:v>
                </c:pt>
                <c:pt idx="36">
                  <c:v>8.9423728499805968E-3</c:v>
                </c:pt>
                <c:pt idx="37">
                  <c:v>7.8145060040370994E-3</c:v>
                </c:pt>
                <c:pt idx="38">
                  <c:v>6.6866391580935993E-3</c:v>
                </c:pt>
                <c:pt idx="39">
                  <c:v>5.5587723121501009E-3</c:v>
                </c:pt>
                <c:pt idx="40">
                  <c:v>4.4309054662066017E-3</c:v>
                </c:pt>
                <c:pt idx="41">
                  <c:v>3.9475339608022455E-3</c:v>
                </c:pt>
                <c:pt idx="42">
                  <c:v>3.4641624553978885E-3</c:v>
                </c:pt>
                <c:pt idx="43">
                  <c:v>2.9807909499935323E-3</c:v>
                </c:pt>
                <c:pt idx="44">
                  <c:v>2.4974194445891757E-3</c:v>
                </c:pt>
                <c:pt idx="45">
                  <c:v>2.014047939184819E-3</c:v>
                </c:pt>
                <c:pt idx="46">
                  <c:v>1.6112383513478552E-3</c:v>
                </c:pt>
                <c:pt idx="47">
                  <c:v>1.2084287635108913E-3</c:v>
                </c:pt>
                <c:pt idx="48">
                  <c:v>8.056191756739277E-4</c:v>
                </c:pt>
                <c:pt idx="49">
                  <c:v>4.0280958783696385E-4</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ser>
        <c:ser>
          <c:idx val="3"/>
          <c:order val="3"/>
          <c:tx>
            <c:v>SCS Vol Corrected</c:v>
          </c:tx>
          <c:marker>
            <c:symbol val="none"/>
          </c:marker>
          <c:val>
            <c:numRef>
              <c:f>'Step 2 Inflow Hydrograph'!$K$57:$K$147</c:f>
              <c:numCache>
                <c:formatCode>0.000</c:formatCode>
                <c:ptCount val="91"/>
                <c:pt idx="0">
                  <c:v>0</c:v>
                </c:pt>
                <c:pt idx="1">
                  <c:v>1.6463209765931238E-2</c:v>
                </c:pt>
                <c:pt idx="2">
                  <c:v>5.4877365886437469E-2</c:v>
                </c:pt>
                <c:pt idx="3">
                  <c:v>0.10426699518423117</c:v>
                </c:pt>
                <c:pt idx="4">
                  <c:v>0.17011983424795613</c:v>
                </c:pt>
                <c:pt idx="5">
                  <c:v>0.25792361966625604</c:v>
                </c:pt>
                <c:pt idx="6">
                  <c:v>0.36219061485048726</c:v>
                </c:pt>
                <c:pt idx="7">
                  <c:v>0.44999440026878718</c:v>
                </c:pt>
                <c:pt idx="8">
                  <c:v>0.51035950274386843</c:v>
                </c:pt>
                <c:pt idx="9">
                  <c:v>0.5432859222757308</c:v>
                </c:pt>
                <c:pt idx="10">
                  <c:v>0.54877365886437457</c:v>
                </c:pt>
                <c:pt idx="11">
                  <c:v>0.5432859222757308</c:v>
                </c:pt>
                <c:pt idx="12">
                  <c:v>0.51035950274386843</c:v>
                </c:pt>
                <c:pt idx="13">
                  <c:v>0.47194534662336213</c:v>
                </c:pt>
                <c:pt idx="14">
                  <c:v>0.42804345391421222</c:v>
                </c:pt>
                <c:pt idx="15">
                  <c:v>0.37316608802777473</c:v>
                </c:pt>
                <c:pt idx="16">
                  <c:v>0.30731324896404982</c:v>
                </c:pt>
                <c:pt idx="17">
                  <c:v>0.26066748796057798</c:v>
                </c:pt>
                <c:pt idx="18">
                  <c:v>0.21402172695710611</c:v>
                </c:pt>
                <c:pt idx="19">
                  <c:v>0.18383917571956551</c:v>
                </c:pt>
                <c:pt idx="20">
                  <c:v>0.15365662448202491</c:v>
                </c:pt>
                <c:pt idx="21">
                  <c:v>0.13362638593347523</c:v>
                </c:pt>
                <c:pt idx="22">
                  <c:v>0.11359614738492553</c:v>
                </c:pt>
                <c:pt idx="23">
                  <c:v>9.7132937618994303E-2</c:v>
                </c:pt>
                <c:pt idx="24">
                  <c:v>8.0669727853063061E-2</c:v>
                </c:pt>
                <c:pt idx="25">
                  <c:v>6.9694254675775572E-2</c:v>
                </c:pt>
                <c:pt idx="26">
                  <c:v>5.8718781498488075E-2</c:v>
                </c:pt>
                <c:pt idx="27">
                  <c:v>5.0487176615522461E-2</c:v>
                </c:pt>
                <c:pt idx="28">
                  <c:v>4.2255571732556847E-2</c:v>
                </c:pt>
                <c:pt idx="29">
                  <c:v>3.6219061485048727E-2</c:v>
                </c:pt>
                <c:pt idx="30">
                  <c:v>3.0182551237540607E-2</c:v>
                </c:pt>
                <c:pt idx="31">
                  <c:v>2.688990928435436E-2</c:v>
                </c:pt>
                <c:pt idx="32">
                  <c:v>2.3597267331168112E-2</c:v>
                </c:pt>
                <c:pt idx="33">
                  <c:v>2.0304625377981861E-2</c:v>
                </c:pt>
                <c:pt idx="34">
                  <c:v>1.7011983424795613E-2</c:v>
                </c:pt>
                <c:pt idx="35">
                  <c:v>1.3719341471609367E-2</c:v>
                </c:pt>
                <c:pt idx="36">
                  <c:v>1.2182775226789119E-2</c:v>
                </c:pt>
                <c:pt idx="37">
                  <c:v>1.0646208981968868E-2</c:v>
                </c:pt>
                <c:pt idx="38">
                  <c:v>9.1096427371486193E-3</c:v>
                </c:pt>
                <c:pt idx="39">
                  <c:v>7.5730764923283705E-3</c:v>
                </c:pt>
                <c:pt idx="40">
                  <c:v>6.0365102475081209E-3</c:v>
                </c:pt>
                <c:pt idx="41">
                  <c:v>5.3779818568708716E-3</c:v>
                </c:pt>
                <c:pt idx="42">
                  <c:v>4.7194534662336213E-3</c:v>
                </c:pt>
                <c:pt idx="43">
                  <c:v>4.0609250755963729E-3</c:v>
                </c:pt>
                <c:pt idx="44">
                  <c:v>3.4023966849591226E-3</c:v>
                </c:pt>
                <c:pt idx="45">
                  <c:v>2.7438682943218733E-3</c:v>
                </c:pt>
                <c:pt idx="46">
                  <c:v>2.1950946354574986E-3</c:v>
                </c:pt>
                <c:pt idx="47">
                  <c:v>1.646320976593124E-3</c:v>
                </c:pt>
                <c:pt idx="48">
                  <c:v>1.0975473177287491E-3</c:v>
                </c:pt>
                <c:pt idx="49">
                  <c:v>5.4877365886437475E-4</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ser>
        <c:dLbls>
          <c:showLegendKey val="0"/>
          <c:showVal val="0"/>
          <c:showCatName val="0"/>
          <c:showSerName val="0"/>
          <c:showPercent val="0"/>
          <c:showBubbleSize val="0"/>
        </c:dLbls>
        <c:marker val="1"/>
        <c:smooth val="0"/>
        <c:axId val="43483904"/>
        <c:axId val="43485824"/>
      </c:lineChart>
      <c:catAx>
        <c:axId val="43483904"/>
        <c:scaling>
          <c:orientation val="minMax"/>
        </c:scaling>
        <c:delete val="0"/>
        <c:axPos val="b"/>
        <c:title>
          <c:tx>
            <c:rich>
              <a:bodyPr/>
              <a:lstStyle/>
              <a:p>
                <a:pPr>
                  <a:defRPr/>
                </a:pPr>
                <a:r>
                  <a:rPr lang="en-US"/>
                  <a:t>Time Step</a:t>
                </a:r>
              </a:p>
            </c:rich>
          </c:tx>
          <c:overlay val="0"/>
        </c:title>
        <c:numFmt formatCode="General" sourceLinked="1"/>
        <c:majorTickMark val="out"/>
        <c:minorTickMark val="none"/>
        <c:tickLblPos val="nextTo"/>
        <c:crossAx val="43485824"/>
        <c:crosses val="autoZero"/>
        <c:auto val="1"/>
        <c:lblAlgn val="ctr"/>
        <c:lblOffset val="100"/>
        <c:noMultiLvlLbl val="0"/>
      </c:catAx>
      <c:valAx>
        <c:axId val="43485824"/>
        <c:scaling>
          <c:orientation val="minMax"/>
        </c:scaling>
        <c:delete val="0"/>
        <c:axPos val="l"/>
        <c:majorGridlines/>
        <c:title>
          <c:tx>
            <c:rich>
              <a:bodyPr rot="-5400000" vert="horz"/>
              <a:lstStyle/>
              <a:p>
                <a:pPr>
                  <a:defRPr/>
                </a:pPr>
                <a:r>
                  <a:rPr lang="en-US"/>
                  <a:t>Flow (cms)</a:t>
                </a:r>
              </a:p>
            </c:rich>
          </c:tx>
          <c:overlay val="0"/>
        </c:title>
        <c:numFmt formatCode="General" sourceLinked="1"/>
        <c:majorTickMark val="out"/>
        <c:minorTickMark val="none"/>
        <c:tickLblPos val="nextTo"/>
        <c:crossAx val="43483904"/>
        <c:crosses val="autoZero"/>
        <c:crossBetween val="between"/>
      </c:valAx>
    </c:plotArea>
    <c:legend>
      <c:legendPos val="b"/>
      <c:overlay val="0"/>
    </c:legend>
    <c:plotVisOnly val="1"/>
    <c:dispBlanksAs val="gap"/>
    <c:showDLblsOverMax val="0"/>
  </c:chart>
  <c:printSettings>
    <c:headerFooter/>
    <c:pageMargins b="0.75000000000000122" l="0.70000000000000062" r="0.70000000000000062" t="0.7500000000000012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Discharge vs. Volume</a:t>
            </a:r>
          </a:p>
        </c:rich>
      </c:tx>
      <c:overlay val="0"/>
    </c:title>
    <c:autoTitleDeleted val="0"/>
    <c:plotArea>
      <c:layout/>
      <c:scatterChart>
        <c:scatterStyle val="lineMarker"/>
        <c:varyColors val="0"/>
        <c:ser>
          <c:idx val="4"/>
          <c:order val="0"/>
          <c:tx>
            <c:strRef>
              <c:f>'Step 4 Stage Discharge'!$M$23</c:f>
              <c:strCache>
                <c:ptCount val="1"/>
                <c:pt idx="0">
                  <c:v>Total Discharge</c:v>
                </c:pt>
              </c:strCache>
            </c:strRef>
          </c:tx>
          <c:xVal>
            <c:numRef>
              <c:f>'Step 4 Stage Discharge'!$E$26:$E$35</c:f>
              <c:numCache>
                <c:formatCode>#,##0</c:formatCode>
                <c:ptCount val="10"/>
                <c:pt idx="0">
                  <c:v>0</c:v>
                </c:pt>
                <c:pt idx="1">
                  <c:v>39.504000000000005</c:v>
                </c:pt>
                <c:pt idx="2">
                  <c:v>82.032000000000011</c:v>
                </c:pt>
                <c:pt idx="3">
                  <c:v>127.65600000000001</c:v>
                </c:pt>
                <c:pt idx="4">
                  <c:v>176.44800000000001</c:v>
                </c:pt>
                <c:pt idx="5">
                  <c:v>228.48000000000002</c:v>
                </c:pt>
                <c:pt idx="6">
                  <c:v>283.82400000000001</c:v>
                </c:pt>
                <c:pt idx="7">
                  <c:v>342.55200000000002</c:v>
                </c:pt>
                <c:pt idx="8">
                  <c:v>404.73600000000005</c:v>
                </c:pt>
                <c:pt idx="9">
                  <c:v>470.44800000000004</c:v>
                </c:pt>
              </c:numCache>
            </c:numRef>
          </c:xVal>
          <c:yVal>
            <c:numRef>
              <c:f>'Step 4 Stage Discharge'!$M$26:$M$35</c:f>
              <c:numCache>
                <c:formatCode>0.000</c:formatCode>
                <c:ptCount val="10"/>
                <c:pt idx="0">
                  <c:v>4.3639431710317386E-3</c:v>
                </c:pt>
                <c:pt idx="1">
                  <c:v>1.9449792341953941E-2</c:v>
                </c:pt>
                <c:pt idx="2">
                  <c:v>6.1810145635073227E-2</c:v>
                </c:pt>
                <c:pt idx="3">
                  <c:v>7.8332273522501564E-2</c:v>
                </c:pt>
                <c:pt idx="4">
                  <c:v>9.1931474735149135E-2</c:v>
                </c:pt>
                <c:pt idx="5">
                  <c:v>0.10376341849975068</c:v>
                </c:pt>
                <c:pt idx="6">
                  <c:v>0.11437787369298941</c:v>
                </c:pt>
                <c:pt idx="7">
                  <c:v>0.12408766643911394</c:v>
                </c:pt>
                <c:pt idx="8">
                  <c:v>0.13309094610107722</c:v>
                </c:pt>
                <c:pt idx="9">
                  <c:v>0.14152261623449167</c:v>
                </c:pt>
              </c:numCache>
            </c:numRef>
          </c:yVal>
          <c:smooth val="0"/>
        </c:ser>
        <c:dLbls>
          <c:showLegendKey val="0"/>
          <c:showVal val="0"/>
          <c:showCatName val="0"/>
          <c:showSerName val="0"/>
          <c:showPercent val="0"/>
          <c:showBubbleSize val="0"/>
        </c:dLbls>
        <c:axId val="43557632"/>
        <c:axId val="43559168"/>
      </c:scatterChart>
      <c:valAx>
        <c:axId val="43557632"/>
        <c:scaling>
          <c:orientation val="minMax"/>
        </c:scaling>
        <c:delete val="0"/>
        <c:axPos val="b"/>
        <c:numFmt formatCode="#,##0" sourceLinked="1"/>
        <c:majorTickMark val="out"/>
        <c:minorTickMark val="none"/>
        <c:tickLblPos val="nextTo"/>
        <c:crossAx val="43559168"/>
        <c:crosses val="autoZero"/>
        <c:crossBetween val="midCat"/>
      </c:valAx>
      <c:valAx>
        <c:axId val="43559168"/>
        <c:scaling>
          <c:orientation val="minMax"/>
        </c:scaling>
        <c:delete val="0"/>
        <c:axPos val="l"/>
        <c:majorGridlines/>
        <c:numFmt formatCode="0.000" sourceLinked="1"/>
        <c:majorTickMark val="out"/>
        <c:minorTickMark val="none"/>
        <c:tickLblPos val="nextTo"/>
        <c:crossAx val="4355763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1"/>
              <a:t>Quantity Control</a:t>
            </a:r>
            <a:r>
              <a:rPr lang="en-US" b="1" baseline="0"/>
              <a:t> - </a:t>
            </a:r>
            <a:r>
              <a:rPr lang="en-US" b="1"/>
              <a:t>Inflow and Outflow through Pond</a:t>
            </a:r>
          </a:p>
          <a:p>
            <a:pPr>
              <a:defRPr/>
            </a:pPr>
            <a:r>
              <a:rPr lang="en-US" b="1"/>
              <a:t>Hydrograph Comparison</a:t>
            </a:r>
          </a:p>
        </c:rich>
      </c:tx>
      <c:overlay val="0"/>
    </c:title>
    <c:autoTitleDeleted val="0"/>
    <c:plotArea>
      <c:layout>
        <c:manualLayout>
          <c:layoutTarget val="inner"/>
          <c:xMode val="edge"/>
          <c:yMode val="edge"/>
          <c:x val="8.4350721420643732E-2"/>
          <c:y val="0.1207177814029366"/>
          <c:w val="0.79245283018867962"/>
          <c:h val="0.81402936378466551"/>
        </c:manualLayout>
      </c:layout>
      <c:scatterChart>
        <c:scatterStyle val="lineMarker"/>
        <c:varyColors val="0"/>
        <c:ser>
          <c:idx val="0"/>
          <c:order val="0"/>
          <c:tx>
            <c:v>Inflow</c:v>
          </c:tx>
          <c:spPr>
            <a:ln w="19050">
              <a:solidFill>
                <a:srgbClr val="000080"/>
              </a:solidFill>
              <a:prstDash val="solid"/>
            </a:ln>
          </c:spPr>
          <c:marker>
            <c:symbol val="none"/>
          </c:marker>
          <c:xVal>
            <c:strRef>
              <c:f>'Step 5 Routing'!$A$12:$A$912</c:f>
              <c:strCache>
                <c:ptCount val="901"/>
                <c:pt idx="0">
                  <c:v>min</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pt idx="17">
                  <c:v>16</c:v>
                </c:pt>
                <c:pt idx="18">
                  <c:v>17</c:v>
                </c:pt>
                <c:pt idx="19">
                  <c:v>18</c:v>
                </c:pt>
                <c:pt idx="20">
                  <c:v>19</c:v>
                </c:pt>
                <c:pt idx="21">
                  <c:v>20</c:v>
                </c:pt>
                <c:pt idx="22">
                  <c:v>21</c:v>
                </c:pt>
                <c:pt idx="23">
                  <c:v>22</c:v>
                </c:pt>
                <c:pt idx="24">
                  <c:v>23</c:v>
                </c:pt>
                <c:pt idx="25">
                  <c:v>24</c:v>
                </c:pt>
                <c:pt idx="26">
                  <c:v>25</c:v>
                </c:pt>
                <c:pt idx="27">
                  <c:v>26</c:v>
                </c:pt>
                <c:pt idx="28">
                  <c:v>27</c:v>
                </c:pt>
                <c:pt idx="29">
                  <c:v>28</c:v>
                </c:pt>
                <c:pt idx="30">
                  <c:v>29</c:v>
                </c:pt>
                <c:pt idx="31">
                  <c:v>30</c:v>
                </c:pt>
                <c:pt idx="32">
                  <c:v>31</c:v>
                </c:pt>
                <c:pt idx="33">
                  <c:v>32</c:v>
                </c:pt>
                <c:pt idx="34">
                  <c:v>33</c:v>
                </c:pt>
                <c:pt idx="35">
                  <c:v>34</c:v>
                </c:pt>
                <c:pt idx="36">
                  <c:v>35</c:v>
                </c:pt>
                <c:pt idx="37">
                  <c:v>36</c:v>
                </c:pt>
                <c:pt idx="38">
                  <c:v>37</c:v>
                </c:pt>
                <c:pt idx="39">
                  <c:v>38</c:v>
                </c:pt>
                <c:pt idx="40">
                  <c:v>39</c:v>
                </c:pt>
                <c:pt idx="41">
                  <c:v>40</c:v>
                </c:pt>
                <c:pt idx="42">
                  <c:v>41</c:v>
                </c:pt>
                <c:pt idx="43">
                  <c:v>42</c:v>
                </c:pt>
                <c:pt idx="44">
                  <c:v>43</c:v>
                </c:pt>
                <c:pt idx="45">
                  <c:v>44</c:v>
                </c:pt>
                <c:pt idx="46">
                  <c:v>45</c:v>
                </c:pt>
                <c:pt idx="47">
                  <c:v>46</c:v>
                </c:pt>
                <c:pt idx="48">
                  <c:v>47</c:v>
                </c:pt>
                <c:pt idx="49">
                  <c:v>48</c:v>
                </c:pt>
                <c:pt idx="50">
                  <c:v>49</c:v>
                </c:pt>
                <c:pt idx="51">
                  <c:v>50</c:v>
                </c:pt>
                <c:pt idx="52">
                  <c:v>51</c:v>
                </c:pt>
                <c:pt idx="53">
                  <c:v>52</c:v>
                </c:pt>
                <c:pt idx="54">
                  <c:v>53</c:v>
                </c:pt>
                <c:pt idx="55">
                  <c:v>54</c:v>
                </c:pt>
                <c:pt idx="56">
                  <c:v>55</c:v>
                </c:pt>
                <c:pt idx="57">
                  <c:v>56</c:v>
                </c:pt>
                <c:pt idx="58">
                  <c:v>57</c:v>
                </c:pt>
                <c:pt idx="59">
                  <c:v>58</c:v>
                </c:pt>
                <c:pt idx="60">
                  <c:v>59</c:v>
                </c:pt>
                <c:pt idx="61">
                  <c:v>60</c:v>
                </c:pt>
                <c:pt idx="62">
                  <c:v>61</c:v>
                </c:pt>
                <c:pt idx="63">
                  <c:v>62</c:v>
                </c:pt>
                <c:pt idx="64">
                  <c:v>63</c:v>
                </c:pt>
                <c:pt idx="65">
                  <c:v>64</c:v>
                </c:pt>
                <c:pt idx="66">
                  <c:v>65</c:v>
                </c:pt>
                <c:pt idx="67">
                  <c:v>66</c:v>
                </c:pt>
                <c:pt idx="68">
                  <c:v>67</c:v>
                </c:pt>
                <c:pt idx="69">
                  <c:v>68</c:v>
                </c:pt>
                <c:pt idx="70">
                  <c:v>69</c:v>
                </c:pt>
                <c:pt idx="71">
                  <c:v>70</c:v>
                </c:pt>
                <c:pt idx="72">
                  <c:v>71</c:v>
                </c:pt>
                <c:pt idx="73">
                  <c:v>72</c:v>
                </c:pt>
                <c:pt idx="74">
                  <c:v>73</c:v>
                </c:pt>
                <c:pt idx="75">
                  <c:v>74</c:v>
                </c:pt>
                <c:pt idx="76">
                  <c:v>75</c:v>
                </c:pt>
                <c:pt idx="77">
                  <c:v>76</c:v>
                </c:pt>
                <c:pt idx="78">
                  <c:v>77</c:v>
                </c:pt>
                <c:pt idx="79">
                  <c:v>78</c:v>
                </c:pt>
                <c:pt idx="80">
                  <c:v>79</c:v>
                </c:pt>
                <c:pt idx="81">
                  <c:v>80</c:v>
                </c:pt>
                <c:pt idx="82">
                  <c:v>81</c:v>
                </c:pt>
                <c:pt idx="83">
                  <c:v>82</c:v>
                </c:pt>
                <c:pt idx="84">
                  <c:v>83</c:v>
                </c:pt>
                <c:pt idx="85">
                  <c:v>84</c:v>
                </c:pt>
                <c:pt idx="86">
                  <c:v>85</c:v>
                </c:pt>
                <c:pt idx="87">
                  <c:v>86</c:v>
                </c:pt>
                <c:pt idx="88">
                  <c:v>87</c:v>
                </c:pt>
                <c:pt idx="89">
                  <c:v>88</c:v>
                </c:pt>
                <c:pt idx="90">
                  <c:v>89</c:v>
                </c:pt>
                <c:pt idx="91">
                  <c:v>90</c:v>
                </c:pt>
                <c:pt idx="92">
                  <c:v>91</c:v>
                </c:pt>
                <c:pt idx="93">
                  <c:v>92</c:v>
                </c:pt>
                <c:pt idx="94">
                  <c:v>93</c:v>
                </c:pt>
                <c:pt idx="95">
                  <c:v>94</c:v>
                </c:pt>
                <c:pt idx="96">
                  <c:v>95</c:v>
                </c:pt>
                <c:pt idx="97">
                  <c:v>96</c:v>
                </c:pt>
                <c:pt idx="98">
                  <c:v>97</c:v>
                </c:pt>
                <c:pt idx="99">
                  <c:v>98</c:v>
                </c:pt>
                <c:pt idx="100">
                  <c:v>99</c:v>
                </c:pt>
                <c:pt idx="101">
                  <c:v>100</c:v>
                </c:pt>
                <c:pt idx="102">
                  <c:v>101</c:v>
                </c:pt>
                <c:pt idx="103">
                  <c:v>102</c:v>
                </c:pt>
                <c:pt idx="104">
                  <c:v>103</c:v>
                </c:pt>
                <c:pt idx="105">
                  <c:v>104</c:v>
                </c:pt>
                <c:pt idx="106">
                  <c:v>105</c:v>
                </c:pt>
                <c:pt idx="107">
                  <c:v>106</c:v>
                </c:pt>
                <c:pt idx="108">
                  <c:v>107</c:v>
                </c:pt>
                <c:pt idx="109">
                  <c:v>108</c:v>
                </c:pt>
                <c:pt idx="110">
                  <c:v>109</c:v>
                </c:pt>
                <c:pt idx="111">
                  <c:v>110</c:v>
                </c:pt>
                <c:pt idx="112">
                  <c:v>111</c:v>
                </c:pt>
                <c:pt idx="113">
                  <c:v>112</c:v>
                </c:pt>
                <c:pt idx="114">
                  <c:v>113</c:v>
                </c:pt>
                <c:pt idx="115">
                  <c:v>114</c:v>
                </c:pt>
                <c:pt idx="116">
                  <c:v>115</c:v>
                </c:pt>
                <c:pt idx="117">
                  <c:v>116</c:v>
                </c:pt>
                <c:pt idx="118">
                  <c:v>117</c:v>
                </c:pt>
                <c:pt idx="119">
                  <c:v>118</c:v>
                </c:pt>
                <c:pt idx="120">
                  <c:v>119</c:v>
                </c:pt>
                <c:pt idx="121">
                  <c:v>120</c:v>
                </c:pt>
                <c:pt idx="122">
                  <c:v>121</c:v>
                </c:pt>
                <c:pt idx="123">
                  <c:v>122</c:v>
                </c:pt>
                <c:pt idx="124">
                  <c:v>123</c:v>
                </c:pt>
                <c:pt idx="125">
                  <c:v>124</c:v>
                </c:pt>
                <c:pt idx="126">
                  <c:v>125</c:v>
                </c:pt>
                <c:pt idx="127">
                  <c:v>126</c:v>
                </c:pt>
                <c:pt idx="128">
                  <c:v>127</c:v>
                </c:pt>
                <c:pt idx="129">
                  <c:v>128</c:v>
                </c:pt>
                <c:pt idx="130">
                  <c:v>129</c:v>
                </c:pt>
                <c:pt idx="131">
                  <c:v>130</c:v>
                </c:pt>
                <c:pt idx="132">
                  <c:v>131</c:v>
                </c:pt>
                <c:pt idx="133">
                  <c:v>132</c:v>
                </c:pt>
                <c:pt idx="134">
                  <c:v>133</c:v>
                </c:pt>
                <c:pt idx="135">
                  <c:v>134</c:v>
                </c:pt>
                <c:pt idx="136">
                  <c:v>135</c:v>
                </c:pt>
                <c:pt idx="137">
                  <c:v>136</c:v>
                </c:pt>
                <c:pt idx="138">
                  <c:v>137</c:v>
                </c:pt>
                <c:pt idx="139">
                  <c:v>138</c:v>
                </c:pt>
                <c:pt idx="140">
                  <c:v>139</c:v>
                </c:pt>
                <c:pt idx="141">
                  <c:v>140</c:v>
                </c:pt>
                <c:pt idx="142">
                  <c:v>141</c:v>
                </c:pt>
                <c:pt idx="143">
                  <c:v>142</c:v>
                </c:pt>
                <c:pt idx="144">
                  <c:v>143</c:v>
                </c:pt>
                <c:pt idx="145">
                  <c:v>144</c:v>
                </c:pt>
                <c:pt idx="146">
                  <c:v>145</c:v>
                </c:pt>
                <c:pt idx="147">
                  <c:v>146</c:v>
                </c:pt>
                <c:pt idx="148">
                  <c:v>147</c:v>
                </c:pt>
                <c:pt idx="149">
                  <c:v>148</c:v>
                </c:pt>
                <c:pt idx="150">
                  <c:v>149</c:v>
                </c:pt>
                <c:pt idx="151">
                  <c:v>150</c:v>
                </c:pt>
                <c:pt idx="152">
                  <c:v>151</c:v>
                </c:pt>
                <c:pt idx="153">
                  <c:v>152</c:v>
                </c:pt>
                <c:pt idx="154">
                  <c:v>153</c:v>
                </c:pt>
                <c:pt idx="155">
                  <c:v>154</c:v>
                </c:pt>
                <c:pt idx="156">
                  <c:v>155</c:v>
                </c:pt>
                <c:pt idx="157">
                  <c:v>156</c:v>
                </c:pt>
                <c:pt idx="158">
                  <c:v>157</c:v>
                </c:pt>
                <c:pt idx="159">
                  <c:v>158</c:v>
                </c:pt>
                <c:pt idx="160">
                  <c:v>159</c:v>
                </c:pt>
                <c:pt idx="161">
                  <c:v>160</c:v>
                </c:pt>
                <c:pt idx="162">
                  <c:v>161</c:v>
                </c:pt>
                <c:pt idx="163">
                  <c:v>162</c:v>
                </c:pt>
                <c:pt idx="164">
                  <c:v>163</c:v>
                </c:pt>
                <c:pt idx="165">
                  <c:v>164</c:v>
                </c:pt>
                <c:pt idx="166">
                  <c:v>165</c:v>
                </c:pt>
                <c:pt idx="167">
                  <c:v>166</c:v>
                </c:pt>
                <c:pt idx="168">
                  <c:v>167</c:v>
                </c:pt>
                <c:pt idx="169">
                  <c:v>168</c:v>
                </c:pt>
                <c:pt idx="170">
                  <c:v>169</c:v>
                </c:pt>
                <c:pt idx="171">
                  <c:v>170</c:v>
                </c:pt>
                <c:pt idx="172">
                  <c:v>171</c:v>
                </c:pt>
                <c:pt idx="173">
                  <c:v>172</c:v>
                </c:pt>
                <c:pt idx="174">
                  <c:v>173</c:v>
                </c:pt>
                <c:pt idx="175">
                  <c:v>174</c:v>
                </c:pt>
                <c:pt idx="176">
                  <c:v>175</c:v>
                </c:pt>
                <c:pt idx="177">
                  <c:v>176</c:v>
                </c:pt>
                <c:pt idx="178">
                  <c:v>177</c:v>
                </c:pt>
                <c:pt idx="179">
                  <c:v>178</c:v>
                </c:pt>
                <c:pt idx="180">
                  <c:v>179</c:v>
                </c:pt>
                <c:pt idx="181">
                  <c:v>180</c:v>
                </c:pt>
                <c:pt idx="182">
                  <c:v>181</c:v>
                </c:pt>
                <c:pt idx="183">
                  <c:v>182</c:v>
                </c:pt>
                <c:pt idx="184">
                  <c:v>183</c:v>
                </c:pt>
                <c:pt idx="185">
                  <c:v>184</c:v>
                </c:pt>
                <c:pt idx="186">
                  <c:v>185</c:v>
                </c:pt>
                <c:pt idx="187">
                  <c:v>186</c:v>
                </c:pt>
                <c:pt idx="188">
                  <c:v>187</c:v>
                </c:pt>
                <c:pt idx="189">
                  <c:v>188</c:v>
                </c:pt>
                <c:pt idx="190">
                  <c:v>189</c:v>
                </c:pt>
                <c:pt idx="191">
                  <c:v>190</c:v>
                </c:pt>
                <c:pt idx="192">
                  <c:v>191</c:v>
                </c:pt>
                <c:pt idx="193">
                  <c:v>192</c:v>
                </c:pt>
                <c:pt idx="194">
                  <c:v>193</c:v>
                </c:pt>
                <c:pt idx="195">
                  <c:v>194</c:v>
                </c:pt>
                <c:pt idx="196">
                  <c:v>195</c:v>
                </c:pt>
                <c:pt idx="197">
                  <c:v>196</c:v>
                </c:pt>
                <c:pt idx="198">
                  <c:v>197</c:v>
                </c:pt>
                <c:pt idx="199">
                  <c:v>198</c:v>
                </c:pt>
                <c:pt idx="200">
                  <c:v>199</c:v>
                </c:pt>
                <c:pt idx="201">
                  <c:v>200</c:v>
                </c:pt>
                <c:pt idx="202">
                  <c:v>201</c:v>
                </c:pt>
                <c:pt idx="203">
                  <c:v>202</c:v>
                </c:pt>
                <c:pt idx="204">
                  <c:v>203</c:v>
                </c:pt>
                <c:pt idx="205">
                  <c:v>204</c:v>
                </c:pt>
                <c:pt idx="206">
                  <c:v>205</c:v>
                </c:pt>
                <c:pt idx="207">
                  <c:v>206</c:v>
                </c:pt>
                <c:pt idx="208">
                  <c:v>207</c:v>
                </c:pt>
                <c:pt idx="209">
                  <c:v>208</c:v>
                </c:pt>
                <c:pt idx="210">
                  <c:v>209</c:v>
                </c:pt>
                <c:pt idx="211">
                  <c:v>210</c:v>
                </c:pt>
                <c:pt idx="212">
                  <c:v>211</c:v>
                </c:pt>
                <c:pt idx="213">
                  <c:v>212</c:v>
                </c:pt>
                <c:pt idx="214">
                  <c:v>213</c:v>
                </c:pt>
                <c:pt idx="215">
                  <c:v>214</c:v>
                </c:pt>
                <c:pt idx="216">
                  <c:v>215</c:v>
                </c:pt>
                <c:pt idx="217">
                  <c:v>216</c:v>
                </c:pt>
                <c:pt idx="218">
                  <c:v>217</c:v>
                </c:pt>
                <c:pt idx="219">
                  <c:v>218</c:v>
                </c:pt>
                <c:pt idx="220">
                  <c:v>219</c:v>
                </c:pt>
                <c:pt idx="221">
                  <c:v>220</c:v>
                </c:pt>
                <c:pt idx="222">
                  <c:v>221</c:v>
                </c:pt>
                <c:pt idx="223">
                  <c:v>222</c:v>
                </c:pt>
                <c:pt idx="224">
                  <c:v>223</c:v>
                </c:pt>
                <c:pt idx="225">
                  <c:v>224</c:v>
                </c:pt>
                <c:pt idx="226">
                  <c:v>225</c:v>
                </c:pt>
                <c:pt idx="227">
                  <c:v>226</c:v>
                </c:pt>
                <c:pt idx="228">
                  <c:v>227</c:v>
                </c:pt>
                <c:pt idx="229">
                  <c:v>228</c:v>
                </c:pt>
                <c:pt idx="230">
                  <c:v>229</c:v>
                </c:pt>
                <c:pt idx="231">
                  <c:v>230</c:v>
                </c:pt>
                <c:pt idx="232">
                  <c:v>231</c:v>
                </c:pt>
                <c:pt idx="233">
                  <c:v>232</c:v>
                </c:pt>
                <c:pt idx="234">
                  <c:v>233</c:v>
                </c:pt>
                <c:pt idx="235">
                  <c:v>234</c:v>
                </c:pt>
                <c:pt idx="236">
                  <c:v>235</c:v>
                </c:pt>
                <c:pt idx="237">
                  <c:v>236</c:v>
                </c:pt>
                <c:pt idx="238">
                  <c:v>237</c:v>
                </c:pt>
                <c:pt idx="239">
                  <c:v>238</c:v>
                </c:pt>
                <c:pt idx="240">
                  <c:v>239</c:v>
                </c:pt>
                <c:pt idx="241">
                  <c:v>240</c:v>
                </c:pt>
                <c:pt idx="242">
                  <c:v>241</c:v>
                </c:pt>
                <c:pt idx="243">
                  <c:v>242</c:v>
                </c:pt>
                <c:pt idx="244">
                  <c:v>243</c:v>
                </c:pt>
                <c:pt idx="245">
                  <c:v>244</c:v>
                </c:pt>
                <c:pt idx="246">
                  <c:v>245</c:v>
                </c:pt>
                <c:pt idx="247">
                  <c:v>246</c:v>
                </c:pt>
                <c:pt idx="248">
                  <c:v>247</c:v>
                </c:pt>
                <c:pt idx="249">
                  <c:v>248</c:v>
                </c:pt>
                <c:pt idx="250">
                  <c:v>249</c:v>
                </c:pt>
                <c:pt idx="251">
                  <c:v>250</c:v>
                </c:pt>
                <c:pt idx="252">
                  <c:v>251</c:v>
                </c:pt>
                <c:pt idx="253">
                  <c:v>252</c:v>
                </c:pt>
                <c:pt idx="254">
                  <c:v>253</c:v>
                </c:pt>
                <c:pt idx="255">
                  <c:v>254</c:v>
                </c:pt>
                <c:pt idx="256">
                  <c:v>255</c:v>
                </c:pt>
                <c:pt idx="257">
                  <c:v>256</c:v>
                </c:pt>
                <c:pt idx="258">
                  <c:v>257</c:v>
                </c:pt>
                <c:pt idx="259">
                  <c:v>258</c:v>
                </c:pt>
                <c:pt idx="260">
                  <c:v>259</c:v>
                </c:pt>
                <c:pt idx="261">
                  <c:v>260</c:v>
                </c:pt>
                <c:pt idx="262">
                  <c:v>261</c:v>
                </c:pt>
                <c:pt idx="263">
                  <c:v>262</c:v>
                </c:pt>
                <c:pt idx="264">
                  <c:v>263</c:v>
                </c:pt>
                <c:pt idx="265">
                  <c:v>264</c:v>
                </c:pt>
                <c:pt idx="266">
                  <c:v>265</c:v>
                </c:pt>
                <c:pt idx="267">
                  <c:v>266</c:v>
                </c:pt>
                <c:pt idx="268">
                  <c:v>267</c:v>
                </c:pt>
                <c:pt idx="269">
                  <c:v>268</c:v>
                </c:pt>
                <c:pt idx="270">
                  <c:v>269</c:v>
                </c:pt>
                <c:pt idx="271">
                  <c:v>270</c:v>
                </c:pt>
                <c:pt idx="272">
                  <c:v>271</c:v>
                </c:pt>
                <c:pt idx="273">
                  <c:v>272</c:v>
                </c:pt>
                <c:pt idx="274">
                  <c:v>273</c:v>
                </c:pt>
                <c:pt idx="275">
                  <c:v>274</c:v>
                </c:pt>
                <c:pt idx="276">
                  <c:v>275</c:v>
                </c:pt>
                <c:pt idx="277">
                  <c:v>276</c:v>
                </c:pt>
                <c:pt idx="278">
                  <c:v>277</c:v>
                </c:pt>
                <c:pt idx="279">
                  <c:v>278</c:v>
                </c:pt>
                <c:pt idx="280">
                  <c:v>279</c:v>
                </c:pt>
                <c:pt idx="281">
                  <c:v>280</c:v>
                </c:pt>
                <c:pt idx="282">
                  <c:v>281</c:v>
                </c:pt>
                <c:pt idx="283">
                  <c:v>282</c:v>
                </c:pt>
                <c:pt idx="284">
                  <c:v>283</c:v>
                </c:pt>
                <c:pt idx="285">
                  <c:v>284</c:v>
                </c:pt>
                <c:pt idx="286">
                  <c:v>285</c:v>
                </c:pt>
                <c:pt idx="287">
                  <c:v>286</c:v>
                </c:pt>
                <c:pt idx="288">
                  <c:v>287</c:v>
                </c:pt>
                <c:pt idx="289">
                  <c:v>288</c:v>
                </c:pt>
                <c:pt idx="290">
                  <c:v>289</c:v>
                </c:pt>
                <c:pt idx="291">
                  <c:v>290</c:v>
                </c:pt>
                <c:pt idx="292">
                  <c:v>291</c:v>
                </c:pt>
                <c:pt idx="293">
                  <c:v>292</c:v>
                </c:pt>
                <c:pt idx="294">
                  <c:v>293</c:v>
                </c:pt>
                <c:pt idx="295">
                  <c:v>294</c:v>
                </c:pt>
                <c:pt idx="296">
                  <c:v>295</c:v>
                </c:pt>
                <c:pt idx="297">
                  <c:v>296</c:v>
                </c:pt>
                <c:pt idx="298">
                  <c:v>297</c:v>
                </c:pt>
                <c:pt idx="299">
                  <c:v>298</c:v>
                </c:pt>
                <c:pt idx="300">
                  <c:v>299</c:v>
                </c:pt>
                <c:pt idx="301">
                  <c:v>300</c:v>
                </c:pt>
                <c:pt idx="302">
                  <c:v>301</c:v>
                </c:pt>
                <c:pt idx="303">
                  <c:v>302</c:v>
                </c:pt>
                <c:pt idx="304">
                  <c:v>303</c:v>
                </c:pt>
                <c:pt idx="305">
                  <c:v>304</c:v>
                </c:pt>
                <c:pt idx="306">
                  <c:v>305</c:v>
                </c:pt>
                <c:pt idx="307">
                  <c:v>306</c:v>
                </c:pt>
                <c:pt idx="308">
                  <c:v>307</c:v>
                </c:pt>
                <c:pt idx="309">
                  <c:v>308</c:v>
                </c:pt>
                <c:pt idx="310">
                  <c:v>309</c:v>
                </c:pt>
                <c:pt idx="311">
                  <c:v>310</c:v>
                </c:pt>
                <c:pt idx="312">
                  <c:v>311</c:v>
                </c:pt>
                <c:pt idx="313">
                  <c:v>312</c:v>
                </c:pt>
                <c:pt idx="314">
                  <c:v>313</c:v>
                </c:pt>
                <c:pt idx="315">
                  <c:v>314</c:v>
                </c:pt>
                <c:pt idx="316">
                  <c:v>315</c:v>
                </c:pt>
                <c:pt idx="317">
                  <c:v>316</c:v>
                </c:pt>
                <c:pt idx="318">
                  <c:v>317</c:v>
                </c:pt>
                <c:pt idx="319">
                  <c:v>318</c:v>
                </c:pt>
                <c:pt idx="320">
                  <c:v>319</c:v>
                </c:pt>
                <c:pt idx="321">
                  <c:v>320</c:v>
                </c:pt>
                <c:pt idx="322">
                  <c:v>321</c:v>
                </c:pt>
                <c:pt idx="323">
                  <c:v>322</c:v>
                </c:pt>
                <c:pt idx="324">
                  <c:v>323</c:v>
                </c:pt>
                <c:pt idx="325">
                  <c:v>324</c:v>
                </c:pt>
                <c:pt idx="326">
                  <c:v>325</c:v>
                </c:pt>
                <c:pt idx="327">
                  <c:v>326</c:v>
                </c:pt>
                <c:pt idx="328">
                  <c:v>327</c:v>
                </c:pt>
                <c:pt idx="329">
                  <c:v>328</c:v>
                </c:pt>
                <c:pt idx="330">
                  <c:v>329</c:v>
                </c:pt>
                <c:pt idx="331">
                  <c:v>330</c:v>
                </c:pt>
                <c:pt idx="332">
                  <c:v>331</c:v>
                </c:pt>
                <c:pt idx="333">
                  <c:v>332</c:v>
                </c:pt>
                <c:pt idx="334">
                  <c:v>333</c:v>
                </c:pt>
                <c:pt idx="335">
                  <c:v>334</c:v>
                </c:pt>
                <c:pt idx="336">
                  <c:v>335</c:v>
                </c:pt>
                <c:pt idx="337">
                  <c:v>336</c:v>
                </c:pt>
                <c:pt idx="338">
                  <c:v>337</c:v>
                </c:pt>
                <c:pt idx="339">
                  <c:v>338</c:v>
                </c:pt>
                <c:pt idx="340">
                  <c:v>339</c:v>
                </c:pt>
                <c:pt idx="341">
                  <c:v>340</c:v>
                </c:pt>
                <c:pt idx="342">
                  <c:v>341</c:v>
                </c:pt>
                <c:pt idx="343">
                  <c:v>342</c:v>
                </c:pt>
                <c:pt idx="344">
                  <c:v>343</c:v>
                </c:pt>
                <c:pt idx="345">
                  <c:v>344</c:v>
                </c:pt>
                <c:pt idx="346">
                  <c:v>345</c:v>
                </c:pt>
                <c:pt idx="347">
                  <c:v>346</c:v>
                </c:pt>
                <c:pt idx="348">
                  <c:v>347</c:v>
                </c:pt>
                <c:pt idx="349">
                  <c:v>348</c:v>
                </c:pt>
                <c:pt idx="350">
                  <c:v>349</c:v>
                </c:pt>
                <c:pt idx="351">
                  <c:v>350</c:v>
                </c:pt>
                <c:pt idx="352">
                  <c:v>351</c:v>
                </c:pt>
                <c:pt idx="353">
                  <c:v>352</c:v>
                </c:pt>
                <c:pt idx="354">
                  <c:v>353</c:v>
                </c:pt>
                <c:pt idx="355">
                  <c:v>354</c:v>
                </c:pt>
                <c:pt idx="356">
                  <c:v>355</c:v>
                </c:pt>
                <c:pt idx="357">
                  <c:v>356</c:v>
                </c:pt>
                <c:pt idx="358">
                  <c:v>357</c:v>
                </c:pt>
                <c:pt idx="359">
                  <c:v>358</c:v>
                </c:pt>
                <c:pt idx="360">
                  <c:v>359</c:v>
                </c:pt>
                <c:pt idx="361">
                  <c:v>360</c:v>
                </c:pt>
                <c:pt idx="362">
                  <c:v>361</c:v>
                </c:pt>
                <c:pt idx="363">
                  <c:v>362</c:v>
                </c:pt>
                <c:pt idx="364">
                  <c:v>363</c:v>
                </c:pt>
                <c:pt idx="365">
                  <c:v>364</c:v>
                </c:pt>
                <c:pt idx="366">
                  <c:v>365</c:v>
                </c:pt>
                <c:pt idx="367">
                  <c:v>366</c:v>
                </c:pt>
                <c:pt idx="368">
                  <c:v>367</c:v>
                </c:pt>
                <c:pt idx="369">
                  <c:v>368</c:v>
                </c:pt>
                <c:pt idx="370">
                  <c:v>369</c:v>
                </c:pt>
                <c:pt idx="371">
                  <c:v>370</c:v>
                </c:pt>
                <c:pt idx="372">
                  <c:v>371</c:v>
                </c:pt>
                <c:pt idx="373">
                  <c:v>372</c:v>
                </c:pt>
                <c:pt idx="374">
                  <c:v>373</c:v>
                </c:pt>
                <c:pt idx="375">
                  <c:v>374</c:v>
                </c:pt>
                <c:pt idx="376">
                  <c:v>375</c:v>
                </c:pt>
                <c:pt idx="377">
                  <c:v>376</c:v>
                </c:pt>
                <c:pt idx="378">
                  <c:v>377</c:v>
                </c:pt>
                <c:pt idx="379">
                  <c:v>378</c:v>
                </c:pt>
                <c:pt idx="380">
                  <c:v>379</c:v>
                </c:pt>
                <c:pt idx="381">
                  <c:v>380</c:v>
                </c:pt>
                <c:pt idx="382">
                  <c:v>381</c:v>
                </c:pt>
                <c:pt idx="383">
                  <c:v>382</c:v>
                </c:pt>
                <c:pt idx="384">
                  <c:v>383</c:v>
                </c:pt>
                <c:pt idx="385">
                  <c:v>384</c:v>
                </c:pt>
                <c:pt idx="386">
                  <c:v>385</c:v>
                </c:pt>
                <c:pt idx="387">
                  <c:v>386</c:v>
                </c:pt>
                <c:pt idx="388">
                  <c:v>387</c:v>
                </c:pt>
                <c:pt idx="389">
                  <c:v>388</c:v>
                </c:pt>
                <c:pt idx="390">
                  <c:v>389</c:v>
                </c:pt>
                <c:pt idx="391">
                  <c:v>390</c:v>
                </c:pt>
                <c:pt idx="392">
                  <c:v>391</c:v>
                </c:pt>
                <c:pt idx="393">
                  <c:v>392</c:v>
                </c:pt>
                <c:pt idx="394">
                  <c:v>393</c:v>
                </c:pt>
                <c:pt idx="395">
                  <c:v>394</c:v>
                </c:pt>
                <c:pt idx="396">
                  <c:v>395</c:v>
                </c:pt>
                <c:pt idx="397">
                  <c:v>396</c:v>
                </c:pt>
                <c:pt idx="398">
                  <c:v>397</c:v>
                </c:pt>
                <c:pt idx="399">
                  <c:v>398</c:v>
                </c:pt>
                <c:pt idx="400">
                  <c:v>399</c:v>
                </c:pt>
                <c:pt idx="401">
                  <c:v>400</c:v>
                </c:pt>
                <c:pt idx="402">
                  <c:v>401</c:v>
                </c:pt>
                <c:pt idx="403">
                  <c:v>402</c:v>
                </c:pt>
                <c:pt idx="404">
                  <c:v>403</c:v>
                </c:pt>
                <c:pt idx="405">
                  <c:v>404</c:v>
                </c:pt>
                <c:pt idx="406">
                  <c:v>405</c:v>
                </c:pt>
                <c:pt idx="407">
                  <c:v>406</c:v>
                </c:pt>
                <c:pt idx="408">
                  <c:v>407</c:v>
                </c:pt>
                <c:pt idx="409">
                  <c:v>408</c:v>
                </c:pt>
                <c:pt idx="410">
                  <c:v>409</c:v>
                </c:pt>
                <c:pt idx="411">
                  <c:v>410</c:v>
                </c:pt>
                <c:pt idx="412">
                  <c:v>411</c:v>
                </c:pt>
                <c:pt idx="413">
                  <c:v>412</c:v>
                </c:pt>
                <c:pt idx="414">
                  <c:v>413</c:v>
                </c:pt>
                <c:pt idx="415">
                  <c:v>414</c:v>
                </c:pt>
                <c:pt idx="416">
                  <c:v>415</c:v>
                </c:pt>
                <c:pt idx="417">
                  <c:v>416</c:v>
                </c:pt>
                <c:pt idx="418">
                  <c:v>417</c:v>
                </c:pt>
                <c:pt idx="419">
                  <c:v>418</c:v>
                </c:pt>
                <c:pt idx="420">
                  <c:v>419</c:v>
                </c:pt>
                <c:pt idx="421">
                  <c:v>420</c:v>
                </c:pt>
                <c:pt idx="422">
                  <c:v>421</c:v>
                </c:pt>
                <c:pt idx="423">
                  <c:v>422</c:v>
                </c:pt>
                <c:pt idx="424">
                  <c:v>423</c:v>
                </c:pt>
                <c:pt idx="425">
                  <c:v>424</c:v>
                </c:pt>
                <c:pt idx="426">
                  <c:v>425</c:v>
                </c:pt>
                <c:pt idx="427">
                  <c:v>426</c:v>
                </c:pt>
                <c:pt idx="428">
                  <c:v>427</c:v>
                </c:pt>
                <c:pt idx="429">
                  <c:v>428</c:v>
                </c:pt>
                <c:pt idx="430">
                  <c:v>429</c:v>
                </c:pt>
                <c:pt idx="431">
                  <c:v>430</c:v>
                </c:pt>
                <c:pt idx="432">
                  <c:v>431</c:v>
                </c:pt>
                <c:pt idx="433">
                  <c:v>432</c:v>
                </c:pt>
                <c:pt idx="434">
                  <c:v>433</c:v>
                </c:pt>
                <c:pt idx="435">
                  <c:v>434</c:v>
                </c:pt>
                <c:pt idx="436">
                  <c:v>435</c:v>
                </c:pt>
                <c:pt idx="437">
                  <c:v>436</c:v>
                </c:pt>
                <c:pt idx="438">
                  <c:v>437</c:v>
                </c:pt>
                <c:pt idx="439">
                  <c:v>438</c:v>
                </c:pt>
                <c:pt idx="440">
                  <c:v>439</c:v>
                </c:pt>
                <c:pt idx="441">
                  <c:v>440</c:v>
                </c:pt>
                <c:pt idx="442">
                  <c:v>441</c:v>
                </c:pt>
                <c:pt idx="443">
                  <c:v>442</c:v>
                </c:pt>
                <c:pt idx="444">
                  <c:v>443</c:v>
                </c:pt>
                <c:pt idx="445">
                  <c:v>444</c:v>
                </c:pt>
                <c:pt idx="446">
                  <c:v>445</c:v>
                </c:pt>
                <c:pt idx="447">
                  <c:v>446</c:v>
                </c:pt>
                <c:pt idx="448">
                  <c:v>447</c:v>
                </c:pt>
                <c:pt idx="449">
                  <c:v>448</c:v>
                </c:pt>
                <c:pt idx="450">
                  <c:v>449</c:v>
                </c:pt>
                <c:pt idx="451">
                  <c:v>450</c:v>
                </c:pt>
                <c:pt idx="452">
                  <c:v>451</c:v>
                </c:pt>
                <c:pt idx="453">
                  <c:v>452</c:v>
                </c:pt>
                <c:pt idx="454">
                  <c:v>453</c:v>
                </c:pt>
                <c:pt idx="455">
                  <c:v>454</c:v>
                </c:pt>
                <c:pt idx="456">
                  <c:v>455</c:v>
                </c:pt>
                <c:pt idx="457">
                  <c:v>456</c:v>
                </c:pt>
                <c:pt idx="458">
                  <c:v>457</c:v>
                </c:pt>
                <c:pt idx="459">
                  <c:v>458</c:v>
                </c:pt>
                <c:pt idx="460">
                  <c:v>459</c:v>
                </c:pt>
                <c:pt idx="461">
                  <c:v>460</c:v>
                </c:pt>
                <c:pt idx="462">
                  <c:v>461</c:v>
                </c:pt>
                <c:pt idx="463">
                  <c:v>462</c:v>
                </c:pt>
                <c:pt idx="464">
                  <c:v>463</c:v>
                </c:pt>
                <c:pt idx="465">
                  <c:v>464</c:v>
                </c:pt>
                <c:pt idx="466">
                  <c:v>465</c:v>
                </c:pt>
                <c:pt idx="467">
                  <c:v>466</c:v>
                </c:pt>
                <c:pt idx="468">
                  <c:v>467</c:v>
                </c:pt>
                <c:pt idx="469">
                  <c:v>468</c:v>
                </c:pt>
                <c:pt idx="470">
                  <c:v>469</c:v>
                </c:pt>
                <c:pt idx="471">
                  <c:v>470</c:v>
                </c:pt>
                <c:pt idx="472">
                  <c:v>471</c:v>
                </c:pt>
                <c:pt idx="473">
                  <c:v>472</c:v>
                </c:pt>
                <c:pt idx="474">
                  <c:v>473</c:v>
                </c:pt>
                <c:pt idx="475">
                  <c:v>474</c:v>
                </c:pt>
                <c:pt idx="476">
                  <c:v>475</c:v>
                </c:pt>
                <c:pt idx="477">
                  <c:v>476</c:v>
                </c:pt>
                <c:pt idx="478">
                  <c:v>477</c:v>
                </c:pt>
                <c:pt idx="479">
                  <c:v>478</c:v>
                </c:pt>
                <c:pt idx="480">
                  <c:v>479</c:v>
                </c:pt>
                <c:pt idx="481">
                  <c:v>480</c:v>
                </c:pt>
                <c:pt idx="482">
                  <c:v>481</c:v>
                </c:pt>
                <c:pt idx="483">
                  <c:v>482</c:v>
                </c:pt>
                <c:pt idx="484">
                  <c:v>483</c:v>
                </c:pt>
                <c:pt idx="485">
                  <c:v>484</c:v>
                </c:pt>
                <c:pt idx="486">
                  <c:v>485</c:v>
                </c:pt>
                <c:pt idx="487">
                  <c:v>486</c:v>
                </c:pt>
                <c:pt idx="488">
                  <c:v>487</c:v>
                </c:pt>
                <c:pt idx="489">
                  <c:v>488</c:v>
                </c:pt>
                <c:pt idx="490">
                  <c:v>489</c:v>
                </c:pt>
                <c:pt idx="491">
                  <c:v>490</c:v>
                </c:pt>
                <c:pt idx="492">
                  <c:v>491</c:v>
                </c:pt>
                <c:pt idx="493">
                  <c:v>492</c:v>
                </c:pt>
                <c:pt idx="494">
                  <c:v>493</c:v>
                </c:pt>
                <c:pt idx="495">
                  <c:v>494</c:v>
                </c:pt>
                <c:pt idx="496">
                  <c:v>495</c:v>
                </c:pt>
                <c:pt idx="497">
                  <c:v>496</c:v>
                </c:pt>
                <c:pt idx="498">
                  <c:v>497</c:v>
                </c:pt>
                <c:pt idx="499">
                  <c:v>498</c:v>
                </c:pt>
                <c:pt idx="500">
                  <c:v>499</c:v>
                </c:pt>
                <c:pt idx="501">
                  <c:v>500</c:v>
                </c:pt>
                <c:pt idx="502">
                  <c:v>501</c:v>
                </c:pt>
                <c:pt idx="503">
                  <c:v>502</c:v>
                </c:pt>
                <c:pt idx="504">
                  <c:v>503</c:v>
                </c:pt>
                <c:pt idx="505">
                  <c:v>504</c:v>
                </c:pt>
                <c:pt idx="506">
                  <c:v>505</c:v>
                </c:pt>
                <c:pt idx="507">
                  <c:v>506</c:v>
                </c:pt>
                <c:pt idx="508">
                  <c:v>507</c:v>
                </c:pt>
                <c:pt idx="509">
                  <c:v>508</c:v>
                </c:pt>
                <c:pt idx="510">
                  <c:v>509</c:v>
                </c:pt>
                <c:pt idx="511">
                  <c:v>510</c:v>
                </c:pt>
                <c:pt idx="512">
                  <c:v>511</c:v>
                </c:pt>
                <c:pt idx="513">
                  <c:v>512</c:v>
                </c:pt>
                <c:pt idx="514">
                  <c:v>513</c:v>
                </c:pt>
                <c:pt idx="515">
                  <c:v>514</c:v>
                </c:pt>
                <c:pt idx="516">
                  <c:v>515</c:v>
                </c:pt>
                <c:pt idx="517">
                  <c:v>516</c:v>
                </c:pt>
                <c:pt idx="518">
                  <c:v>517</c:v>
                </c:pt>
                <c:pt idx="519">
                  <c:v>518</c:v>
                </c:pt>
                <c:pt idx="520">
                  <c:v>519</c:v>
                </c:pt>
                <c:pt idx="521">
                  <c:v>520</c:v>
                </c:pt>
                <c:pt idx="522">
                  <c:v>521</c:v>
                </c:pt>
                <c:pt idx="523">
                  <c:v>522</c:v>
                </c:pt>
                <c:pt idx="524">
                  <c:v>523</c:v>
                </c:pt>
                <c:pt idx="525">
                  <c:v>524</c:v>
                </c:pt>
                <c:pt idx="526">
                  <c:v>525</c:v>
                </c:pt>
                <c:pt idx="527">
                  <c:v>526</c:v>
                </c:pt>
                <c:pt idx="528">
                  <c:v>527</c:v>
                </c:pt>
                <c:pt idx="529">
                  <c:v>528</c:v>
                </c:pt>
                <c:pt idx="530">
                  <c:v>529</c:v>
                </c:pt>
                <c:pt idx="531">
                  <c:v>530</c:v>
                </c:pt>
                <c:pt idx="532">
                  <c:v>531</c:v>
                </c:pt>
                <c:pt idx="533">
                  <c:v>532</c:v>
                </c:pt>
                <c:pt idx="534">
                  <c:v>533</c:v>
                </c:pt>
                <c:pt idx="535">
                  <c:v>534</c:v>
                </c:pt>
                <c:pt idx="536">
                  <c:v>535</c:v>
                </c:pt>
                <c:pt idx="537">
                  <c:v>536</c:v>
                </c:pt>
                <c:pt idx="538">
                  <c:v>537</c:v>
                </c:pt>
                <c:pt idx="539">
                  <c:v>538</c:v>
                </c:pt>
                <c:pt idx="540">
                  <c:v>539</c:v>
                </c:pt>
                <c:pt idx="541">
                  <c:v>540</c:v>
                </c:pt>
                <c:pt idx="542">
                  <c:v>541</c:v>
                </c:pt>
                <c:pt idx="543">
                  <c:v>542</c:v>
                </c:pt>
                <c:pt idx="544">
                  <c:v>543</c:v>
                </c:pt>
                <c:pt idx="545">
                  <c:v>544</c:v>
                </c:pt>
                <c:pt idx="546">
                  <c:v>545</c:v>
                </c:pt>
                <c:pt idx="547">
                  <c:v>546</c:v>
                </c:pt>
                <c:pt idx="548">
                  <c:v>547</c:v>
                </c:pt>
                <c:pt idx="549">
                  <c:v>548</c:v>
                </c:pt>
                <c:pt idx="550">
                  <c:v>549</c:v>
                </c:pt>
                <c:pt idx="551">
                  <c:v>550</c:v>
                </c:pt>
                <c:pt idx="552">
                  <c:v>551</c:v>
                </c:pt>
                <c:pt idx="553">
                  <c:v>552</c:v>
                </c:pt>
                <c:pt idx="554">
                  <c:v>553</c:v>
                </c:pt>
                <c:pt idx="555">
                  <c:v>554</c:v>
                </c:pt>
                <c:pt idx="556">
                  <c:v>555</c:v>
                </c:pt>
                <c:pt idx="557">
                  <c:v>556</c:v>
                </c:pt>
                <c:pt idx="558">
                  <c:v>557</c:v>
                </c:pt>
                <c:pt idx="559">
                  <c:v>558</c:v>
                </c:pt>
                <c:pt idx="560">
                  <c:v>559</c:v>
                </c:pt>
                <c:pt idx="561">
                  <c:v>560</c:v>
                </c:pt>
                <c:pt idx="562">
                  <c:v>561</c:v>
                </c:pt>
                <c:pt idx="563">
                  <c:v>562</c:v>
                </c:pt>
                <c:pt idx="564">
                  <c:v>563</c:v>
                </c:pt>
                <c:pt idx="565">
                  <c:v>564</c:v>
                </c:pt>
                <c:pt idx="566">
                  <c:v>565</c:v>
                </c:pt>
                <c:pt idx="567">
                  <c:v>566</c:v>
                </c:pt>
                <c:pt idx="568">
                  <c:v>567</c:v>
                </c:pt>
                <c:pt idx="569">
                  <c:v>568</c:v>
                </c:pt>
                <c:pt idx="570">
                  <c:v>569</c:v>
                </c:pt>
                <c:pt idx="571">
                  <c:v>570</c:v>
                </c:pt>
                <c:pt idx="572">
                  <c:v>571</c:v>
                </c:pt>
                <c:pt idx="573">
                  <c:v>572</c:v>
                </c:pt>
                <c:pt idx="574">
                  <c:v>573</c:v>
                </c:pt>
                <c:pt idx="575">
                  <c:v>574</c:v>
                </c:pt>
                <c:pt idx="576">
                  <c:v>575</c:v>
                </c:pt>
                <c:pt idx="577">
                  <c:v>576</c:v>
                </c:pt>
                <c:pt idx="578">
                  <c:v>577</c:v>
                </c:pt>
                <c:pt idx="579">
                  <c:v>578</c:v>
                </c:pt>
                <c:pt idx="580">
                  <c:v>579</c:v>
                </c:pt>
                <c:pt idx="581">
                  <c:v>580</c:v>
                </c:pt>
                <c:pt idx="582">
                  <c:v>581</c:v>
                </c:pt>
                <c:pt idx="583">
                  <c:v>582</c:v>
                </c:pt>
                <c:pt idx="584">
                  <c:v>583</c:v>
                </c:pt>
                <c:pt idx="585">
                  <c:v>584</c:v>
                </c:pt>
                <c:pt idx="586">
                  <c:v>585</c:v>
                </c:pt>
                <c:pt idx="587">
                  <c:v>586</c:v>
                </c:pt>
                <c:pt idx="588">
                  <c:v>587</c:v>
                </c:pt>
                <c:pt idx="589">
                  <c:v>588</c:v>
                </c:pt>
                <c:pt idx="590">
                  <c:v>589</c:v>
                </c:pt>
                <c:pt idx="591">
                  <c:v>590</c:v>
                </c:pt>
                <c:pt idx="592">
                  <c:v>591</c:v>
                </c:pt>
                <c:pt idx="593">
                  <c:v>592</c:v>
                </c:pt>
                <c:pt idx="594">
                  <c:v>593</c:v>
                </c:pt>
                <c:pt idx="595">
                  <c:v>594</c:v>
                </c:pt>
                <c:pt idx="596">
                  <c:v>595</c:v>
                </c:pt>
                <c:pt idx="597">
                  <c:v>596</c:v>
                </c:pt>
                <c:pt idx="598">
                  <c:v>597</c:v>
                </c:pt>
                <c:pt idx="599">
                  <c:v>598</c:v>
                </c:pt>
                <c:pt idx="600">
                  <c:v>599</c:v>
                </c:pt>
                <c:pt idx="601">
                  <c:v>600</c:v>
                </c:pt>
                <c:pt idx="602">
                  <c:v>601</c:v>
                </c:pt>
                <c:pt idx="603">
                  <c:v>602</c:v>
                </c:pt>
                <c:pt idx="604">
                  <c:v>603</c:v>
                </c:pt>
                <c:pt idx="605">
                  <c:v>604</c:v>
                </c:pt>
                <c:pt idx="606">
                  <c:v>605</c:v>
                </c:pt>
                <c:pt idx="607">
                  <c:v>606</c:v>
                </c:pt>
                <c:pt idx="608">
                  <c:v>607</c:v>
                </c:pt>
                <c:pt idx="609">
                  <c:v>608</c:v>
                </c:pt>
                <c:pt idx="610">
                  <c:v>609</c:v>
                </c:pt>
                <c:pt idx="611">
                  <c:v>610</c:v>
                </c:pt>
                <c:pt idx="612">
                  <c:v>611</c:v>
                </c:pt>
                <c:pt idx="613">
                  <c:v>612</c:v>
                </c:pt>
                <c:pt idx="614">
                  <c:v>613</c:v>
                </c:pt>
                <c:pt idx="615">
                  <c:v>614</c:v>
                </c:pt>
                <c:pt idx="616">
                  <c:v>615</c:v>
                </c:pt>
                <c:pt idx="617">
                  <c:v>616</c:v>
                </c:pt>
                <c:pt idx="618">
                  <c:v>617</c:v>
                </c:pt>
                <c:pt idx="619">
                  <c:v>618</c:v>
                </c:pt>
                <c:pt idx="620">
                  <c:v>619</c:v>
                </c:pt>
                <c:pt idx="621">
                  <c:v>620</c:v>
                </c:pt>
                <c:pt idx="622">
                  <c:v>621</c:v>
                </c:pt>
                <c:pt idx="623">
                  <c:v>622</c:v>
                </c:pt>
                <c:pt idx="624">
                  <c:v>623</c:v>
                </c:pt>
                <c:pt idx="625">
                  <c:v>624</c:v>
                </c:pt>
                <c:pt idx="626">
                  <c:v>625</c:v>
                </c:pt>
                <c:pt idx="627">
                  <c:v>626</c:v>
                </c:pt>
                <c:pt idx="628">
                  <c:v>627</c:v>
                </c:pt>
                <c:pt idx="629">
                  <c:v>628</c:v>
                </c:pt>
                <c:pt idx="630">
                  <c:v>629</c:v>
                </c:pt>
                <c:pt idx="631">
                  <c:v>630</c:v>
                </c:pt>
                <c:pt idx="632">
                  <c:v>631</c:v>
                </c:pt>
                <c:pt idx="633">
                  <c:v>632</c:v>
                </c:pt>
                <c:pt idx="634">
                  <c:v>633</c:v>
                </c:pt>
                <c:pt idx="635">
                  <c:v>634</c:v>
                </c:pt>
                <c:pt idx="636">
                  <c:v>635</c:v>
                </c:pt>
                <c:pt idx="637">
                  <c:v>636</c:v>
                </c:pt>
                <c:pt idx="638">
                  <c:v>637</c:v>
                </c:pt>
                <c:pt idx="639">
                  <c:v>638</c:v>
                </c:pt>
                <c:pt idx="640">
                  <c:v>639</c:v>
                </c:pt>
                <c:pt idx="641">
                  <c:v>640</c:v>
                </c:pt>
                <c:pt idx="642">
                  <c:v>641</c:v>
                </c:pt>
                <c:pt idx="643">
                  <c:v>642</c:v>
                </c:pt>
                <c:pt idx="644">
                  <c:v>643</c:v>
                </c:pt>
                <c:pt idx="645">
                  <c:v>644</c:v>
                </c:pt>
                <c:pt idx="646">
                  <c:v>645</c:v>
                </c:pt>
                <c:pt idx="647">
                  <c:v>646</c:v>
                </c:pt>
                <c:pt idx="648">
                  <c:v>647</c:v>
                </c:pt>
                <c:pt idx="649">
                  <c:v>648</c:v>
                </c:pt>
                <c:pt idx="650">
                  <c:v>649</c:v>
                </c:pt>
                <c:pt idx="651">
                  <c:v>650</c:v>
                </c:pt>
                <c:pt idx="652">
                  <c:v>651</c:v>
                </c:pt>
                <c:pt idx="653">
                  <c:v>652</c:v>
                </c:pt>
                <c:pt idx="654">
                  <c:v>653</c:v>
                </c:pt>
                <c:pt idx="655">
                  <c:v>654</c:v>
                </c:pt>
                <c:pt idx="656">
                  <c:v>655</c:v>
                </c:pt>
                <c:pt idx="657">
                  <c:v>656</c:v>
                </c:pt>
                <c:pt idx="658">
                  <c:v>657</c:v>
                </c:pt>
                <c:pt idx="659">
                  <c:v>658</c:v>
                </c:pt>
                <c:pt idx="660">
                  <c:v>659</c:v>
                </c:pt>
                <c:pt idx="661">
                  <c:v>660</c:v>
                </c:pt>
                <c:pt idx="662">
                  <c:v>661</c:v>
                </c:pt>
                <c:pt idx="663">
                  <c:v>662</c:v>
                </c:pt>
                <c:pt idx="664">
                  <c:v>663</c:v>
                </c:pt>
                <c:pt idx="665">
                  <c:v>664</c:v>
                </c:pt>
                <c:pt idx="666">
                  <c:v>665</c:v>
                </c:pt>
                <c:pt idx="667">
                  <c:v>666</c:v>
                </c:pt>
                <c:pt idx="668">
                  <c:v>667</c:v>
                </c:pt>
                <c:pt idx="669">
                  <c:v>668</c:v>
                </c:pt>
                <c:pt idx="670">
                  <c:v>669</c:v>
                </c:pt>
                <c:pt idx="671">
                  <c:v>670</c:v>
                </c:pt>
                <c:pt idx="672">
                  <c:v>671</c:v>
                </c:pt>
                <c:pt idx="673">
                  <c:v>672</c:v>
                </c:pt>
                <c:pt idx="674">
                  <c:v>673</c:v>
                </c:pt>
                <c:pt idx="675">
                  <c:v>674</c:v>
                </c:pt>
                <c:pt idx="676">
                  <c:v>675</c:v>
                </c:pt>
                <c:pt idx="677">
                  <c:v>676</c:v>
                </c:pt>
                <c:pt idx="678">
                  <c:v>677</c:v>
                </c:pt>
                <c:pt idx="679">
                  <c:v>678</c:v>
                </c:pt>
                <c:pt idx="680">
                  <c:v>679</c:v>
                </c:pt>
                <c:pt idx="681">
                  <c:v>680</c:v>
                </c:pt>
                <c:pt idx="682">
                  <c:v>681</c:v>
                </c:pt>
                <c:pt idx="683">
                  <c:v>682</c:v>
                </c:pt>
                <c:pt idx="684">
                  <c:v>683</c:v>
                </c:pt>
                <c:pt idx="685">
                  <c:v>684</c:v>
                </c:pt>
                <c:pt idx="686">
                  <c:v>685</c:v>
                </c:pt>
                <c:pt idx="687">
                  <c:v>686</c:v>
                </c:pt>
                <c:pt idx="688">
                  <c:v>687</c:v>
                </c:pt>
                <c:pt idx="689">
                  <c:v>688</c:v>
                </c:pt>
                <c:pt idx="690">
                  <c:v>689</c:v>
                </c:pt>
                <c:pt idx="691">
                  <c:v>690</c:v>
                </c:pt>
                <c:pt idx="692">
                  <c:v>691</c:v>
                </c:pt>
                <c:pt idx="693">
                  <c:v>692</c:v>
                </c:pt>
                <c:pt idx="694">
                  <c:v>693</c:v>
                </c:pt>
                <c:pt idx="695">
                  <c:v>694</c:v>
                </c:pt>
                <c:pt idx="696">
                  <c:v>695</c:v>
                </c:pt>
                <c:pt idx="697">
                  <c:v>696</c:v>
                </c:pt>
                <c:pt idx="698">
                  <c:v>697</c:v>
                </c:pt>
                <c:pt idx="699">
                  <c:v>698</c:v>
                </c:pt>
                <c:pt idx="700">
                  <c:v>699</c:v>
                </c:pt>
                <c:pt idx="701">
                  <c:v>700</c:v>
                </c:pt>
                <c:pt idx="702">
                  <c:v>701</c:v>
                </c:pt>
                <c:pt idx="703">
                  <c:v>702</c:v>
                </c:pt>
                <c:pt idx="704">
                  <c:v>703</c:v>
                </c:pt>
                <c:pt idx="705">
                  <c:v>704</c:v>
                </c:pt>
                <c:pt idx="706">
                  <c:v>705</c:v>
                </c:pt>
                <c:pt idx="707">
                  <c:v>706</c:v>
                </c:pt>
                <c:pt idx="708">
                  <c:v>707</c:v>
                </c:pt>
                <c:pt idx="709">
                  <c:v>708</c:v>
                </c:pt>
                <c:pt idx="710">
                  <c:v>709</c:v>
                </c:pt>
                <c:pt idx="711">
                  <c:v>710</c:v>
                </c:pt>
                <c:pt idx="712">
                  <c:v>711</c:v>
                </c:pt>
                <c:pt idx="713">
                  <c:v>712</c:v>
                </c:pt>
                <c:pt idx="714">
                  <c:v>713</c:v>
                </c:pt>
                <c:pt idx="715">
                  <c:v>714</c:v>
                </c:pt>
                <c:pt idx="716">
                  <c:v>715</c:v>
                </c:pt>
                <c:pt idx="717">
                  <c:v>716</c:v>
                </c:pt>
                <c:pt idx="718">
                  <c:v>717</c:v>
                </c:pt>
                <c:pt idx="719">
                  <c:v>718</c:v>
                </c:pt>
                <c:pt idx="720">
                  <c:v>719</c:v>
                </c:pt>
                <c:pt idx="721">
                  <c:v>720</c:v>
                </c:pt>
                <c:pt idx="722">
                  <c:v>721</c:v>
                </c:pt>
                <c:pt idx="723">
                  <c:v>722</c:v>
                </c:pt>
                <c:pt idx="724">
                  <c:v>723</c:v>
                </c:pt>
                <c:pt idx="725">
                  <c:v>724</c:v>
                </c:pt>
                <c:pt idx="726">
                  <c:v>725</c:v>
                </c:pt>
                <c:pt idx="727">
                  <c:v>726</c:v>
                </c:pt>
                <c:pt idx="728">
                  <c:v>727</c:v>
                </c:pt>
                <c:pt idx="729">
                  <c:v>728</c:v>
                </c:pt>
                <c:pt idx="730">
                  <c:v>729</c:v>
                </c:pt>
                <c:pt idx="731">
                  <c:v>730</c:v>
                </c:pt>
                <c:pt idx="732">
                  <c:v>731</c:v>
                </c:pt>
                <c:pt idx="733">
                  <c:v>732</c:v>
                </c:pt>
                <c:pt idx="734">
                  <c:v>733</c:v>
                </c:pt>
                <c:pt idx="735">
                  <c:v>734</c:v>
                </c:pt>
                <c:pt idx="736">
                  <c:v>735</c:v>
                </c:pt>
                <c:pt idx="737">
                  <c:v>736</c:v>
                </c:pt>
                <c:pt idx="738">
                  <c:v>737</c:v>
                </c:pt>
                <c:pt idx="739">
                  <c:v>738</c:v>
                </c:pt>
                <c:pt idx="740">
                  <c:v>739</c:v>
                </c:pt>
                <c:pt idx="741">
                  <c:v>740</c:v>
                </c:pt>
                <c:pt idx="742">
                  <c:v>741</c:v>
                </c:pt>
                <c:pt idx="743">
                  <c:v>742</c:v>
                </c:pt>
                <c:pt idx="744">
                  <c:v>743</c:v>
                </c:pt>
                <c:pt idx="745">
                  <c:v>744</c:v>
                </c:pt>
                <c:pt idx="746">
                  <c:v>745</c:v>
                </c:pt>
                <c:pt idx="747">
                  <c:v>746</c:v>
                </c:pt>
                <c:pt idx="748">
                  <c:v>747</c:v>
                </c:pt>
                <c:pt idx="749">
                  <c:v>748</c:v>
                </c:pt>
                <c:pt idx="750">
                  <c:v>749</c:v>
                </c:pt>
                <c:pt idx="751">
                  <c:v>750</c:v>
                </c:pt>
                <c:pt idx="752">
                  <c:v>751</c:v>
                </c:pt>
                <c:pt idx="753">
                  <c:v>752</c:v>
                </c:pt>
                <c:pt idx="754">
                  <c:v>753</c:v>
                </c:pt>
                <c:pt idx="755">
                  <c:v>754</c:v>
                </c:pt>
                <c:pt idx="756">
                  <c:v>755</c:v>
                </c:pt>
                <c:pt idx="757">
                  <c:v>756</c:v>
                </c:pt>
                <c:pt idx="758">
                  <c:v>757</c:v>
                </c:pt>
                <c:pt idx="759">
                  <c:v>758</c:v>
                </c:pt>
                <c:pt idx="760">
                  <c:v>759</c:v>
                </c:pt>
                <c:pt idx="761">
                  <c:v>760</c:v>
                </c:pt>
                <c:pt idx="762">
                  <c:v>761</c:v>
                </c:pt>
                <c:pt idx="763">
                  <c:v>762</c:v>
                </c:pt>
                <c:pt idx="764">
                  <c:v>763</c:v>
                </c:pt>
                <c:pt idx="765">
                  <c:v>764</c:v>
                </c:pt>
                <c:pt idx="766">
                  <c:v>765</c:v>
                </c:pt>
                <c:pt idx="767">
                  <c:v>766</c:v>
                </c:pt>
                <c:pt idx="768">
                  <c:v>767</c:v>
                </c:pt>
                <c:pt idx="769">
                  <c:v>768</c:v>
                </c:pt>
                <c:pt idx="770">
                  <c:v>769</c:v>
                </c:pt>
                <c:pt idx="771">
                  <c:v>770</c:v>
                </c:pt>
                <c:pt idx="772">
                  <c:v>771</c:v>
                </c:pt>
                <c:pt idx="773">
                  <c:v>772</c:v>
                </c:pt>
                <c:pt idx="774">
                  <c:v>773</c:v>
                </c:pt>
                <c:pt idx="775">
                  <c:v>774</c:v>
                </c:pt>
                <c:pt idx="776">
                  <c:v>775</c:v>
                </c:pt>
                <c:pt idx="777">
                  <c:v>776</c:v>
                </c:pt>
                <c:pt idx="778">
                  <c:v>777</c:v>
                </c:pt>
                <c:pt idx="779">
                  <c:v>778</c:v>
                </c:pt>
                <c:pt idx="780">
                  <c:v>779</c:v>
                </c:pt>
                <c:pt idx="781">
                  <c:v>780</c:v>
                </c:pt>
                <c:pt idx="782">
                  <c:v>781</c:v>
                </c:pt>
                <c:pt idx="783">
                  <c:v>782</c:v>
                </c:pt>
                <c:pt idx="784">
                  <c:v>783</c:v>
                </c:pt>
                <c:pt idx="785">
                  <c:v>784</c:v>
                </c:pt>
                <c:pt idx="786">
                  <c:v>785</c:v>
                </c:pt>
                <c:pt idx="787">
                  <c:v>786</c:v>
                </c:pt>
                <c:pt idx="788">
                  <c:v>787</c:v>
                </c:pt>
                <c:pt idx="789">
                  <c:v>788</c:v>
                </c:pt>
                <c:pt idx="790">
                  <c:v>789</c:v>
                </c:pt>
                <c:pt idx="791">
                  <c:v>790</c:v>
                </c:pt>
                <c:pt idx="792">
                  <c:v>791</c:v>
                </c:pt>
                <c:pt idx="793">
                  <c:v>792</c:v>
                </c:pt>
                <c:pt idx="794">
                  <c:v>793</c:v>
                </c:pt>
                <c:pt idx="795">
                  <c:v>794</c:v>
                </c:pt>
                <c:pt idx="796">
                  <c:v>795</c:v>
                </c:pt>
                <c:pt idx="797">
                  <c:v>796</c:v>
                </c:pt>
                <c:pt idx="798">
                  <c:v>797</c:v>
                </c:pt>
                <c:pt idx="799">
                  <c:v>798</c:v>
                </c:pt>
                <c:pt idx="800">
                  <c:v>799</c:v>
                </c:pt>
                <c:pt idx="801">
                  <c:v>800</c:v>
                </c:pt>
                <c:pt idx="802">
                  <c:v>801</c:v>
                </c:pt>
                <c:pt idx="803">
                  <c:v>802</c:v>
                </c:pt>
                <c:pt idx="804">
                  <c:v>803</c:v>
                </c:pt>
                <c:pt idx="805">
                  <c:v>804</c:v>
                </c:pt>
                <c:pt idx="806">
                  <c:v>805</c:v>
                </c:pt>
                <c:pt idx="807">
                  <c:v>806</c:v>
                </c:pt>
                <c:pt idx="808">
                  <c:v>807</c:v>
                </c:pt>
                <c:pt idx="809">
                  <c:v>808</c:v>
                </c:pt>
                <c:pt idx="810">
                  <c:v>809</c:v>
                </c:pt>
                <c:pt idx="811">
                  <c:v>810</c:v>
                </c:pt>
                <c:pt idx="812">
                  <c:v>811</c:v>
                </c:pt>
                <c:pt idx="813">
                  <c:v>812</c:v>
                </c:pt>
                <c:pt idx="814">
                  <c:v>813</c:v>
                </c:pt>
                <c:pt idx="815">
                  <c:v>814</c:v>
                </c:pt>
                <c:pt idx="816">
                  <c:v>815</c:v>
                </c:pt>
                <c:pt idx="817">
                  <c:v>816</c:v>
                </c:pt>
                <c:pt idx="818">
                  <c:v>817</c:v>
                </c:pt>
                <c:pt idx="819">
                  <c:v>818</c:v>
                </c:pt>
                <c:pt idx="820">
                  <c:v>819</c:v>
                </c:pt>
                <c:pt idx="821">
                  <c:v>820</c:v>
                </c:pt>
                <c:pt idx="822">
                  <c:v>821</c:v>
                </c:pt>
                <c:pt idx="823">
                  <c:v>822</c:v>
                </c:pt>
                <c:pt idx="824">
                  <c:v>823</c:v>
                </c:pt>
                <c:pt idx="825">
                  <c:v>824</c:v>
                </c:pt>
                <c:pt idx="826">
                  <c:v>825</c:v>
                </c:pt>
                <c:pt idx="827">
                  <c:v>826</c:v>
                </c:pt>
                <c:pt idx="828">
                  <c:v>827</c:v>
                </c:pt>
                <c:pt idx="829">
                  <c:v>828</c:v>
                </c:pt>
                <c:pt idx="830">
                  <c:v>829</c:v>
                </c:pt>
                <c:pt idx="831">
                  <c:v>830</c:v>
                </c:pt>
                <c:pt idx="832">
                  <c:v>831</c:v>
                </c:pt>
                <c:pt idx="833">
                  <c:v>832</c:v>
                </c:pt>
                <c:pt idx="834">
                  <c:v>833</c:v>
                </c:pt>
                <c:pt idx="835">
                  <c:v>834</c:v>
                </c:pt>
                <c:pt idx="836">
                  <c:v>835</c:v>
                </c:pt>
                <c:pt idx="837">
                  <c:v>836</c:v>
                </c:pt>
                <c:pt idx="838">
                  <c:v>837</c:v>
                </c:pt>
                <c:pt idx="839">
                  <c:v>838</c:v>
                </c:pt>
                <c:pt idx="840">
                  <c:v>839</c:v>
                </c:pt>
                <c:pt idx="841">
                  <c:v>840</c:v>
                </c:pt>
                <c:pt idx="842">
                  <c:v>841</c:v>
                </c:pt>
                <c:pt idx="843">
                  <c:v>842</c:v>
                </c:pt>
                <c:pt idx="844">
                  <c:v>843</c:v>
                </c:pt>
                <c:pt idx="845">
                  <c:v>844</c:v>
                </c:pt>
                <c:pt idx="846">
                  <c:v>845</c:v>
                </c:pt>
                <c:pt idx="847">
                  <c:v>846</c:v>
                </c:pt>
                <c:pt idx="848">
                  <c:v>847</c:v>
                </c:pt>
                <c:pt idx="849">
                  <c:v>848</c:v>
                </c:pt>
                <c:pt idx="850">
                  <c:v>849</c:v>
                </c:pt>
                <c:pt idx="851">
                  <c:v>850</c:v>
                </c:pt>
                <c:pt idx="852">
                  <c:v>851</c:v>
                </c:pt>
                <c:pt idx="853">
                  <c:v>852</c:v>
                </c:pt>
                <c:pt idx="854">
                  <c:v>853</c:v>
                </c:pt>
                <c:pt idx="855">
                  <c:v>854</c:v>
                </c:pt>
                <c:pt idx="856">
                  <c:v>855</c:v>
                </c:pt>
                <c:pt idx="857">
                  <c:v>856</c:v>
                </c:pt>
                <c:pt idx="858">
                  <c:v>857</c:v>
                </c:pt>
                <c:pt idx="859">
                  <c:v>858</c:v>
                </c:pt>
                <c:pt idx="860">
                  <c:v>859</c:v>
                </c:pt>
                <c:pt idx="861">
                  <c:v>860</c:v>
                </c:pt>
                <c:pt idx="862">
                  <c:v>861</c:v>
                </c:pt>
                <c:pt idx="863">
                  <c:v>862</c:v>
                </c:pt>
                <c:pt idx="864">
                  <c:v>863</c:v>
                </c:pt>
                <c:pt idx="865">
                  <c:v>864</c:v>
                </c:pt>
                <c:pt idx="866">
                  <c:v>865</c:v>
                </c:pt>
                <c:pt idx="867">
                  <c:v>866</c:v>
                </c:pt>
                <c:pt idx="868">
                  <c:v>867</c:v>
                </c:pt>
                <c:pt idx="869">
                  <c:v>868</c:v>
                </c:pt>
                <c:pt idx="870">
                  <c:v>869</c:v>
                </c:pt>
                <c:pt idx="871">
                  <c:v>870</c:v>
                </c:pt>
                <c:pt idx="872">
                  <c:v>871</c:v>
                </c:pt>
                <c:pt idx="873">
                  <c:v>872</c:v>
                </c:pt>
                <c:pt idx="874">
                  <c:v>873</c:v>
                </c:pt>
                <c:pt idx="875">
                  <c:v>874</c:v>
                </c:pt>
                <c:pt idx="876">
                  <c:v>875</c:v>
                </c:pt>
                <c:pt idx="877">
                  <c:v>876</c:v>
                </c:pt>
                <c:pt idx="878">
                  <c:v>877</c:v>
                </c:pt>
                <c:pt idx="879">
                  <c:v>878</c:v>
                </c:pt>
                <c:pt idx="880">
                  <c:v>879</c:v>
                </c:pt>
                <c:pt idx="881">
                  <c:v>880</c:v>
                </c:pt>
                <c:pt idx="882">
                  <c:v>881</c:v>
                </c:pt>
                <c:pt idx="883">
                  <c:v>882</c:v>
                </c:pt>
                <c:pt idx="884">
                  <c:v>883</c:v>
                </c:pt>
                <c:pt idx="885">
                  <c:v>884</c:v>
                </c:pt>
                <c:pt idx="886">
                  <c:v>885</c:v>
                </c:pt>
                <c:pt idx="887">
                  <c:v>886</c:v>
                </c:pt>
                <c:pt idx="888">
                  <c:v>887</c:v>
                </c:pt>
                <c:pt idx="889">
                  <c:v>888</c:v>
                </c:pt>
                <c:pt idx="890">
                  <c:v>889</c:v>
                </c:pt>
                <c:pt idx="891">
                  <c:v>890</c:v>
                </c:pt>
                <c:pt idx="892">
                  <c:v>891</c:v>
                </c:pt>
                <c:pt idx="893">
                  <c:v>892</c:v>
                </c:pt>
                <c:pt idx="894">
                  <c:v>893</c:v>
                </c:pt>
                <c:pt idx="895">
                  <c:v>894</c:v>
                </c:pt>
                <c:pt idx="896">
                  <c:v>895</c:v>
                </c:pt>
                <c:pt idx="897">
                  <c:v>896</c:v>
                </c:pt>
                <c:pt idx="898">
                  <c:v>897</c:v>
                </c:pt>
                <c:pt idx="899">
                  <c:v>898</c:v>
                </c:pt>
                <c:pt idx="900">
                  <c:v>899</c:v>
                </c:pt>
              </c:strCache>
            </c:strRef>
          </c:xVal>
          <c:yVal>
            <c:numRef>
              <c:f>'Step 5 Routing'!$B$12:$B$912</c:f>
              <c:numCache>
                <c:formatCode>0.00</c:formatCode>
                <c:ptCount val="901"/>
                <c:pt idx="0" formatCode="0.000">
                  <c:v>0</c:v>
                </c:pt>
                <c:pt idx="1">
                  <c:v>0</c:v>
                </c:pt>
                <c:pt idx="2">
                  <c:v>1.6463209765931238E-2</c:v>
                </c:pt>
                <c:pt idx="3">
                  <c:v>5.4877365886437469E-2</c:v>
                </c:pt>
                <c:pt idx="4">
                  <c:v>0.10426699518423117</c:v>
                </c:pt>
                <c:pt idx="5">
                  <c:v>0.17011983424795613</c:v>
                </c:pt>
                <c:pt idx="6">
                  <c:v>0.25792361966625604</c:v>
                </c:pt>
                <c:pt idx="7">
                  <c:v>0.36219061485048726</c:v>
                </c:pt>
                <c:pt idx="8">
                  <c:v>0.44999440026878718</c:v>
                </c:pt>
                <c:pt idx="9">
                  <c:v>0.51035950274386843</c:v>
                </c:pt>
                <c:pt idx="10">
                  <c:v>0.5432859222757308</c:v>
                </c:pt>
                <c:pt idx="11">
                  <c:v>0.54877365886437457</c:v>
                </c:pt>
                <c:pt idx="12">
                  <c:v>0.5432859222757308</c:v>
                </c:pt>
                <c:pt idx="13">
                  <c:v>0.51035950274386843</c:v>
                </c:pt>
                <c:pt idx="14">
                  <c:v>0.47194534662336213</c:v>
                </c:pt>
                <c:pt idx="15">
                  <c:v>0.42804345391421222</c:v>
                </c:pt>
                <c:pt idx="16">
                  <c:v>0.37316608802777473</c:v>
                </c:pt>
                <c:pt idx="17">
                  <c:v>0.30731324896404982</c:v>
                </c:pt>
                <c:pt idx="18">
                  <c:v>0.26066748796057798</c:v>
                </c:pt>
                <c:pt idx="19">
                  <c:v>0.21402172695710611</c:v>
                </c:pt>
                <c:pt idx="20">
                  <c:v>0.18383917571956551</c:v>
                </c:pt>
                <c:pt idx="21">
                  <c:v>0.15365662448202491</c:v>
                </c:pt>
                <c:pt idx="22">
                  <c:v>0.13362638593347523</c:v>
                </c:pt>
                <c:pt idx="23">
                  <c:v>0.11359614738492553</c:v>
                </c:pt>
                <c:pt idx="24">
                  <c:v>9.7132937618994303E-2</c:v>
                </c:pt>
                <c:pt idx="25">
                  <c:v>8.0669727853063061E-2</c:v>
                </c:pt>
                <c:pt idx="26">
                  <c:v>6.9694254675775572E-2</c:v>
                </c:pt>
                <c:pt idx="27">
                  <c:v>5.8718781498488075E-2</c:v>
                </c:pt>
                <c:pt idx="28">
                  <c:v>5.0487176615522461E-2</c:v>
                </c:pt>
                <c:pt idx="29">
                  <c:v>4.2255571732556847E-2</c:v>
                </c:pt>
                <c:pt idx="30">
                  <c:v>3.6219061485048727E-2</c:v>
                </c:pt>
                <c:pt idx="31">
                  <c:v>3.0182551237540607E-2</c:v>
                </c:pt>
                <c:pt idx="32">
                  <c:v>2.688990928435436E-2</c:v>
                </c:pt>
                <c:pt idx="33">
                  <c:v>2.3597267331168112E-2</c:v>
                </c:pt>
                <c:pt idx="34">
                  <c:v>2.0304625377981861E-2</c:v>
                </c:pt>
                <c:pt idx="35">
                  <c:v>1.7011983424795613E-2</c:v>
                </c:pt>
                <c:pt idx="36">
                  <c:v>1.3719341471609367E-2</c:v>
                </c:pt>
                <c:pt idx="37">
                  <c:v>1.2182775226789119E-2</c:v>
                </c:pt>
                <c:pt idx="38">
                  <c:v>1.0646208981968868E-2</c:v>
                </c:pt>
                <c:pt idx="39">
                  <c:v>9.1096427371486193E-3</c:v>
                </c:pt>
                <c:pt idx="40">
                  <c:v>7.5730764923283705E-3</c:v>
                </c:pt>
                <c:pt idx="41">
                  <c:v>6.0365102475081209E-3</c:v>
                </c:pt>
                <c:pt idx="42">
                  <c:v>5.3779818568708716E-3</c:v>
                </c:pt>
                <c:pt idx="43">
                  <c:v>4.7194534662336213E-3</c:v>
                </c:pt>
                <c:pt idx="44">
                  <c:v>4.0609250755963729E-3</c:v>
                </c:pt>
                <c:pt idx="45">
                  <c:v>3.4023966849591226E-3</c:v>
                </c:pt>
                <c:pt idx="46">
                  <c:v>2.7438682943218733E-3</c:v>
                </c:pt>
                <c:pt idx="47">
                  <c:v>2.1950946354574986E-3</c:v>
                </c:pt>
                <c:pt idx="48">
                  <c:v>1.646320976593124E-3</c:v>
                </c:pt>
                <c:pt idx="49">
                  <c:v>1.0975473177287491E-3</c:v>
                </c:pt>
                <c:pt idx="50">
                  <c:v>5.4877365886437475E-4</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numCache>
            </c:numRef>
          </c:yVal>
          <c:smooth val="0"/>
        </c:ser>
        <c:ser>
          <c:idx val="1"/>
          <c:order val="1"/>
          <c:tx>
            <c:v>Outflow</c:v>
          </c:tx>
          <c:spPr>
            <a:ln w="19050">
              <a:solidFill>
                <a:srgbClr val="FF00FF"/>
              </a:solidFill>
              <a:prstDash val="solid"/>
            </a:ln>
          </c:spPr>
          <c:marker>
            <c:symbol val="none"/>
          </c:marker>
          <c:xVal>
            <c:strRef>
              <c:f>'Step 5 Routing'!$A$12:$A$912</c:f>
              <c:strCache>
                <c:ptCount val="901"/>
                <c:pt idx="0">
                  <c:v>min</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pt idx="17">
                  <c:v>16</c:v>
                </c:pt>
                <c:pt idx="18">
                  <c:v>17</c:v>
                </c:pt>
                <c:pt idx="19">
                  <c:v>18</c:v>
                </c:pt>
                <c:pt idx="20">
                  <c:v>19</c:v>
                </c:pt>
                <c:pt idx="21">
                  <c:v>20</c:v>
                </c:pt>
                <c:pt idx="22">
                  <c:v>21</c:v>
                </c:pt>
                <c:pt idx="23">
                  <c:v>22</c:v>
                </c:pt>
                <c:pt idx="24">
                  <c:v>23</c:v>
                </c:pt>
                <c:pt idx="25">
                  <c:v>24</c:v>
                </c:pt>
                <c:pt idx="26">
                  <c:v>25</c:v>
                </c:pt>
                <c:pt idx="27">
                  <c:v>26</c:v>
                </c:pt>
                <c:pt idx="28">
                  <c:v>27</c:v>
                </c:pt>
                <c:pt idx="29">
                  <c:v>28</c:v>
                </c:pt>
                <c:pt idx="30">
                  <c:v>29</c:v>
                </c:pt>
                <c:pt idx="31">
                  <c:v>30</c:v>
                </c:pt>
                <c:pt idx="32">
                  <c:v>31</c:v>
                </c:pt>
                <c:pt idx="33">
                  <c:v>32</c:v>
                </c:pt>
                <c:pt idx="34">
                  <c:v>33</c:v>
                </c:pt>
                <c:pt idx="35">
                  <c:v>34</c:v>
                </c:pt>
                <c:pt idx="36">
                  <c:v>35</c:v>
                </c:pt>
                <c:pt idx="37">
                  <c:v>36</c:v>
                </c:pt>
                <c:pt idx="38">
                  <c:v>37</c:v>
                </c:pt>
                <c:pt idx="39">
                  <c:v>38</c:v>
                </c:pt>
                <c:pt idx="40">
                  <c:v>39</c:v>
                </c:pt>
                <c:pt idx="41">
                  <c:v>40</c:v>
                </c:pt>
                <c:pt idx="42">
                  <c:v>41</c:v>
                </c:pt>
                <c:pt idx="43">
                  <c:v>42</c:v>
                </c:pt>
                <c:pt idx="44">
                  <c:v>43</c:v>
                </c:pt>
                <c:pt idx="45">
                  <c:v>44</c:v>
                </c:pt>
                <c:pt idx="46">
                  <c:v>45</c:v>
                </c:pt>
                <c:pt idx="47">
                  <c:v>46</c:v>
                </c:pt>
                <c:pt idx="48">
                  <c:v>47</c:v>
                </c:pt>
                <c:pt idx="49">
                  <c:v>48</c:v>
                </c:pt>
                <c:pt idx="50">
                  <c:v>49</c:v>
                </c:pt>
                <c:pt idx="51">
                  <c:v>50</c:v>
                </c:pt>
                <c:pt idx="52">
                  <c:v>51</c:v>
                </c:pt>
                <c:pt idx="53">
                  <c:v>52</c:v>
                </c:pt>
                <c:pt idx="54">
                  <c:v>53</c:v>
                </c:pt>
                <c:pt idx="55">
                  <c:v>54</c:v>
                </c:pt>
                <c:pt idx="56">
                  <c:v>55</c:v>
                </c:pt>
                <c:pt idx="57">
                  <c:v>56</c:v>
                </c:pt>
                <c:pt idx="58">
                  <c:v>57</c:v>
                </c:pt>
                <c:pt idx="59">
                  <c:v>58</c:v>
                </c:pt>
                <c:pt idx="60">
                  <c:v>59</c:v>
                </c:pt>
                <c:pt idx="61">
                  <c:v>60</c:v>
                </c:pt>
                <c:pt idx="62">
                  <c:v>61</c:v>
                </c:pt>
                <c:pt idx="63">
                  <c:v>62</c:v>
                </c:pt>
                <c:pt idx="64">
                  <c:v>63</c:v>
                </c:pt>
                <c:pt idx="65">
                  <c:v>64</c:v>
                </c:pt>
                <c:pt idx="66">
                  <c:v>65</c:v>
                </c:pt>
                <c:pt idx="67">
                  <c:v>66</c:v>
                </c:pt>
                <c:pt idx="68">
                  <c:v>67</c:v>
                </c:pt>
                <c:pt idx="69">
                  <c:v>68</c:v>
                </c:pt>
                <c:pt idx="70">
                  <c:v>69</c:v>
                </c:pt>
                <c:pt idx="71">
                  <c:v>70</c:v>
                </c:pt>
                <c:pt idx="72">
                  <c:v>71</c:v>
                </c:pt>
                <c:pt idx="73">
                  <c:v>72</c:v>
                </c:pt>
                <c:pt idx="74">
                  <c:v>73</c:v>
                </c:pt>
                <c:pt idx="75">
                  <c:v>74</c:v>
                </c:pt>
                <c:pt idx="76">
                  <c:v>75</c:v>
                </c:pt>
                <c:pt idx="77">
                  <c:v>76</c:v>
                </c:pt>
                <c:pt idx="78">
                  <c:v>77</c:v>
                </c:pt>
                <c:pt idx="79">
                  <c:v>78</c:v>
                </c:pt>
                <c:pt idx="80">
                  <c:v>79</c:v>
                </c:pt>
                <c:pt idx="81">
                  <c:v>80</c:v>
                </c:pt>
                <c:pt idx="82">
                  <c:v>81</c:v>
                </c:pt>
                <c:pt idx="83">
                  <c:v>82</c:v>
                </c:pt>
                <c:pt idx="84">
                  <c:v>83</c:v>
                </c:pt>
                <c:pt idx="85">
                  <c:v>84</c:v>
                </c:pt>
                <c:pt idx="86">
                  <c:v>85</c:v>
                </c:pt>
                <c:pt idx="87">
                  <c:v>86</c:v>
                </c:pt>
                <c:pt idx="88">
                  <c:v>87</c:v>
                </c:pt>
                <c:pt idx="89">
                  <c:v>88</c:v>
                </c:pt>
                <c:pt idx="90">
                  <c:v>89</c:v>
                </c:pt>
                <c:pt idx="91">
                  <c:v>90</c:v>
                </c:pt>
                <c:pt idx="92">
                  <c:v>91</c:v>
                </c:pt>
                <c:pt idx="93">
                  <c:v>92</c:v>
                </c:pt>
                <c:pt idx="94">
                  <c:v>93</c:v>
                </c:pt>
                <c:pt idx="95">
                  <c:v>94</c:v>
                </c:pt>
                <c:pt idx="96">
                  <c:v>95</c:v>
                </c:pt>
                <c:pt idx="97">
                  <c:v>96</c:v>
                </c:pt>
                <c:pt idx="98">
                  <c:v>97</c:v>
                </c:pt>
                <c:pt idx="99">
                  <c:v>98</c:v>
                </c:pt>
                <c:pt idx="100">
                  <c:v>99</c:v>
                </c:pt>
                <c:pt idx="101">
                  <c:v>100</c:v>
                </c:pt>
                <c:pt idx="102">
                  <c:v>101</c:v>
                </c:pt>
                <c:pt idx="103">
                  <c:v>102</c:v>
                </c:pt>
                <c:pt idx="104">
                  <c:v>103</c:v>
                </c:pt>
                <c:pt idx="105">
                  <c:v>104</c:v>
                </c:pt>
                <c:pt idx="106">
                  <c:v>105</c:v>
                </c:pt>
                <c:pt idx="107">
                  <c:v>106</c:v>
                </c:pt>
                <c:pt idx="108">
                  <c:v>107</c:v>
                </c:pt>
                <c:pt idx="109">
                  <c:v>108</c:v>
                </c:pt>
                <c:pt idx="110">
                  <c:v>109</c:v>
                </c:pt>
                <c:pt idx="111">
                  <c:v>110</c:v>
                </c:pt>
                <c:pt idx="112">
                  <c:v>111</c:v>
                </c:pt>
                <c:pt idx="113">
                  <c:v>112</c:v>
                </c:pt>
                <c:pt idx="114">
                  <c:v>113</c:v>
                </c:pt>
                <c:pt idx="115">
                  <c:v>114</c:v>
                </c:pt>
                <c:pt idx="116">
                  <c:v>115</c:v>
                </c:pt>
                <c:pt idx="117">
                  <c:v>116</c:v>
                </c:pt>
                <c:pt idx="118">
                  <c:v>117</c:v>
                </c:pt>
                <c:pt idx="119">
                  <c:v>118</c:v>
                </c:pt>
                <c:pt idx="120">
                  <c:v>119</c:v>
                </c:pt>
                <c:pt idx="121">
                  <c:v>120</c:v>
                </c:pt>
                <c:pt idx="122">
                  <c:v>121</c:v>
                </c:pt>
                <c:pt idx="123">
                  <c:v>122</c:v>
                </c:pt>
                <c:pt idx="124">
                  <c:v>123</c:v>
                </c:pt>
                <c:pt idx="125">
                  <c:v>124</c:v>
                </c:pt>
                <c:pt idx="126">
                  <c:v>125</c:v>
                </c:pt>
                <c:pt idx="127">
                  <c:v>126</c:v>
                </c:pt>
                <c:pt idx="128">
                  <c:v>127</c:v>
                </c:pt>
                <c:pt idx="129">
                  <c:v>128</c:v>
                </c:pt>
                <c:pt idx="130">
                  <c:v>129</c:v>
                </c:pt>
                <c:pt idx="131">
                  <c:v>130</c:v>
                </c:pt>
                <c:pt idx="132">
                  <c:v>131</c:v>
                </c:pt>
                <c:pt idx="133">
                  <c:v>132</c:v>
                </c:pt>
                <c:pt idx="134">
                  <c:v>133</c:v>
                </c:pt>
                <c:pt idx="135">
                  <c:v>134</c:v>
                </c:pt>
                <c:pt idx="136">
                  <c:v>135</c:v>
                </c:pt>
                <c:pt idx="137">
                  <c:v>136</c:v>
                </c:pt>
                <c:pt idx="138">
                  <c:v>137</c:v>
                </c:pt>
                <c:pt idx="139">
                  <c:v>138</c:v>
                </c:pt>
                <c:pt idx="140">
                  <c:v>139</c:v>
                </c:pt>
                <c:pt idx="141">
                  <c:v>140</c:v>
                </c:pt>
                <c:pt idx="142">
                  <c:v>141</c:v>
                </c:pt>
                <c:pt idx="143">
                  <c:v>142</c:v>
                </c:pt>
                <c:pt idx="144">
                  <c:v>143</c:v>
                </c:pt>
                <c:pt idx="145">
                  <c:v>144</c:v>
                </c:pt>
                <c:pt idx="146">
                  <c:v>145</c:v>
                </c:pt>
                <c:pt idx="147">
                  <c:v>146</c:v>
                </c:pt>
                <c:pt idx="148">
                  <c:v>147</c:v>
                </c:pt>
                <c:pt idx="149">
                  <c:v>148</c:v>
                </c:pt>
                <c:pt idx="150">
                  <c:v>149</c:v>
                </c:pt>
                <c:pt idx="151">
                  <c:v>150</c:v>
                </c:pt>
                <c:pt idx="152">
                  <c:v>151</c:v>
                </c:pt>
                <c:pt idx="153">
                  <c:v>152</c:v>
                </c:pt>
                <c:pt idx="154">
                  <c:v>153</c:v>
                </c:pt>
                <c:pt idx="155">
                  <c:v>154</c:v>
                </c:pt>
                <c:pt idx="156">
                  <c:v>155</c:v>
                </c:pt>
                <c:pt idx="157">
                  <c:v>156</c:v>
                </c:pt>
                <c:pt idx="158">
                  <c:v>157</c:v>
                </c:pt>
                <c:pt idx="159">
                  <c:v>158</c:v>
                </c:pt>
                <c:pt idx="160">
                  <c:v>159</c:v>
                </c:pt>
                <c:pt idx="161">
                  <c:v>160</c:v>
                </c:pt>
                <c:pt idx="162">
                  <c:v>161</c:v>
                </c:pt>
                <c:pt idx="163">
                  <c:v>162</c:v>
                </c:pt>
                <c:pt idx="164">
                  <c:v>163</c:v>
                </c:pt>
                <c:pt idx="165">
                  <c:v>164</c:v>
                </c:pt>
                <c:pt idx="166">
                  <c:v>165</c:v>
                </c:pt>
                <c:pt idx="167">
                  <c:v>166</c:v>
                </c:pt>
                <c:pt idx="168">
                  <c:v>167</c:v>
                </c:pt>
                <c:pt idx="169">
                  <c:v>168</c:v>
                </c:pt>
                <c:pt idx="170">
                  <c:v>169</c:v>
                </c:pt>
                <c:pt idx="171">
                  <c:v>170</c:v>
                </c:pt>
                <c:pt idx="172">
                  <c:v>171</c:v>
                </c:pt>
                <c:pt idx="173">
                  <c:v>172</c:v>
                </c:pt>
                <c:pt idx="174">
                  <c:v>173</c:v>
                </c:pt>
                <c:pt idx="175">
                  <c:v>174</c:v>
                </c:pt>
                <c:pt idx="176">
                  <c:v>175</c:v>
                </c:pt>
                <c:pt idx="177">
                  <c:v>176</c:v>
                </c:pt>
                <c:pt idx="178">
                  <c:v>177</c:v>
                </c:pt>
                <c:pt idx="179">
                  <c:v>178</c:v>
                </c:pt>
                <c:pt idx="180">
                  <c:v>179</c:v>
                </c:pt>
                <c:pt idx="181">
                  <c:v>180</c:v>
                </c:pt>
                <c:pt idx="182">
                  <c:v>181</c:v>
                </c:pt>
                <c:pt idx="183">
                  <c:v>182</c:v>
                </c:pt>
                <c:pt idx="184">
                  <c:v>183</c:v>
                </c:pt>
                <c:pt idx="185">
                  <c:v>184</c:v>
                </c:pt>
                <c:pt idx="186">
                  <c:v>185</c:v>
                </c:pt>
                <c:pt idx="187">
                  <c:v>186</c:v>
                </c:pt>
                <c:pt idx="188">
                  <c:v>187</c:v>
                </c:pt>
                <c:pt idx="189">
                  <c:v>188</c:v>
                </c:pt>
                <c:pt idx="190">
                  <c:v>189</c:v>
                </c:pt>
                <c:pt idx="191">
                  <c:v>190</c:v>
                </c:pt>
                <c:pt idx="192">
                  <c:v>191</c:v>
                </c:pt>
                <c:pt idx="193">
                  <c:v>192</c:v>
                </c:pt>
                <c:pt idx="194">
                  <c:v>193</c:v>
                </c:pt>
                <c:pt idx="195">
                  <c:v>194</c:v>
                </c:pt>
                <c:pt idx="196">
                  <c:v>195</c:v>
                </c:pt>
                <c:pt idx="197">
                  <c:v>196</c:v>
                </c:pt>
                <c:pt idx="198">
                  <c:v>197</c:v>
                </c:pt>
                <c:pt idx="199">
                  <c:v>198</c:v>
                </c:pt>
                <c:pt idx="200">
                  <c:v>199</c:v>
                </c:pt>
                <c:pt idx="201">
                  <c:v>200</c:v>
                </c:pt>
                <c:pt idx="202">
                  <c:v>201</c:v>
                </c:pt>
                <c:pt idx="203">
                  <c:v>202</c:v>
                </c:pt>
                <c:pt idx="204">
                  <c:v>203</c:v>
                </c:pt>
                <c:pt idx="205">
                  <c:v>204</c:v>
                </c:pt>
                <c:pt idx="206">
                  <c:v>205</c:v>
                </c:pt>
                <c:pt idx="207">
                  <c:v>206</c:v>
                </c:pt>
                <c:pt idx="208">
                  <c:v>207</c:v>
                </c:pt>
                <c:pt idx="209">
                  <c:v>208</c:v>
                </c:pt>
                <c:pt idx="210">
                  <c:v>209</c:v>
                </c:pt>
                <c:pt idx="211">
                  <c:v>210</c:v>
                </c:pt>
                <c:pt idx="212">
                  <c:v>211</c:v>
                </c:pt>
                <c:pt idx="213">
                  <c:v>212</c:v>
                </c:pt>
                <c:pt idx="214">
                  <c:v>213</c:v>
                </c:pt>
                <c:pt idx="215">
                  <c:v>214</c:v>
                </c:pt>
                <c:pt idx="216">
                  <c:v>215</c:v>
                </c:pt>
                <c:pt idx="217">
                  <c:v>216</c:v>
                </c:pt>
                <c:pt idx="218">
                  <c:v>217</c:v>
                </c:pt>
                <c:pt idx="219">
                  <c:v>218</c:v>
                </c:pt>
                <c:pt idx="220">
                  <c:v>219</c:v>
                </c:pt>
                <c:pt idx="221">
                  <c:v>220</c:v>
                </c:pt>
                <c:pt idx="222">
                  <c:v>221</c:v>
                </c:pt>
                <c:pt idx="223">
                  <c:v>222</c:v>
                </c:pt>
                <c:pt idx="224">
                  <c:v>223</c:v>
                </c:pt>
                <c:pt idx="225">
                  <c:v>224</c:v>
                </c:pt>
                <c:pt idx="226">
                  <c:v>225</c:v>
                </c:pt>
                <c:pt idx="227">
                  <c:v>226</c:v>
                </c:pt>
                <c:pt idx="228">
                  <c:v>227</c:v>
                </c:pt>
                <c:pt idx="229">
                  <c:v>228</c:v>
                </c:pt>
                <c:pt idx="230">
                  <c:v>229</c:v>
                </c:pt>
                <c:pt idx="231">
                  <c:v>230</c:v>
                </c:pt>
                <c:pt idx="232">
                  <c:v>231</c:v>
                </c:pt>
                <c:pt idx="233">
                  <c:v>232</c:v>
                </c:pt>
                <c:pt idx="234">
                  <c:v>233</c:v>
                </c:pt>
                <c:pt idx="235">
                  <c:v>234</c:v>
                </c:pt>
                <c:pt idx="236">
                  <c:v>235</c:v>
                </c:pt>
                <c:pt idx="237">
                  <c:v>236</c:v>
                </c:pt>
                <c:pt idx="238">
                  <c:v>237</c:v>
                </c:pt>
                <c:pt idx="239">
                  <c:v>238</c:v>
                </c:pt>
                <c:pt idx="240">
                  <c:v>239</c:v>
                </c:pt>
                <c:pt idx="241">
                  <c:v>240</c:v>
                </c:pt>
                <c:pt idx="242">
                  <c:v>241</c:v>
                </c:pt>
                <c:pt idx="243">
                  <c:v>242</c:v>
                </c:pt>
                <c:pt idx="244">
                  <c:v>243</c:v>
                </c:pt>
                <c:pt idx="245">
                  <c:v>244</c:v>
                </c:pt>
                <c:pt idx="246">
                  <c:v>245</c:v>
                </c:pt>
                <c:pt idx="247">
                  <c:v>246</c:v>
                </c:pt>
                <c:pt idx="248">
                  <c:v>247</c:v>
                </c:pt>
                <c:pt idx="249">
                  <c:v>248</c:v>
                </c:pt>
                <c:pt idx="250">
                  <c:v>249</c:v>
                </c:pt>
                <c:pt idx="251">
                  <c:v>250</c:v>
                </c:pt>
                <c:pt idx="252">
                  <c:v>251</c:v>
                </c:pt>
                <c:pt idx="253">
                  <c:v>252</c:v>
                </c:pt>
                <c:pt idx="254">
                  <c:v>253</c:v>
                </c:pt>
                <c:pt idx="255">
                  <c:v>254</c:v>
                </c:pt>
                <c:pt idx="256">
                  <c:v>255</c:v>
                </c:pt>
                <c:pt idx="257">
                  <c:v>256</c:v>
                </c:pt>
                <c:pt idx="258">
                  <c:v>257</c:v>
                </c:pt>
                <c:pt idx="259">
                  <c:v>258</c:v>
                </c:pt>
                <c:pt idx="260">
                  <c:v>259</c:v>
                </c:pt>
                <c:pt idx="261">
                  <c:v>260</c:v>
                </c:pt>
                <c:pt idx="262">
                  <c:v>261</c:v>
                </c:pt>
                <c:pt idx="263">
                  <c:v>262</c:v>
                </c:pt>
                <c:pt idx="264">
                  <c:v>263</c:v>
                </c:pt>
                <c:pt idx="265">
                  <c:v>264</c:v>
                </c:pt>
                <c:pt idx="266">
                  <c:v>265</c:v>
                </c:pt>
                <c:pt idx="267">
                  <c:v>266</c:v>
                </c:pt>
                <c:pt idx="268">
                  <c:v>267</c:v>
                </c:pt>
                <c:pt idx="269">
                  <c:v>268</c:v>
                </c:pt>
                <c:pt idx="270">
                  <c:v>269</c:v>
                </c:pt>
                <c:pt idx="271">
                  <c:v>270</c:v>
                </c:pt>
                <c:pt idx="272">
                  <c:v>271</c:v>
                </c:pt>
                <c:pt idx="273">
                  <c:v>272</c:v>
                </c:pt>
                <c:pt idx="274">
                  <c:v>273</c:v>
                </c:pt>
                <c:pt idx="275">
                  <c:v>274</c:v>
                </c:pt>
                <c:pt idx="276">
                  <c:v>275</c:v>
                </c:pt>
                <c:pt idx="277">
                  <c:v>276</c:v>
                </c:pt>
                <c:pt idx="278">
                  <c:v>277</c:v>
                </c:pt>
                <c:pt idx="279">
                  <c:v>278</c:v>
                </c:pt>
                <c:pt idx="280">
                  <c:v>279</c:v>
                </c:pt>
                <c:pt idx="281">
                  <c:v>280</c:v>
                </c:pt>
                <c:pt idx="282">
                  <c:v>281</c:v>
                </c:pt>
                <c:pt idx="283">
                  <c:v>282</c:v>
                </c:pt>
                <c:pt idx="284">
                  <c:v>283</c:v>
                </c:pt>
                <c:pt idx="285">
                  <c:v>284</c:v>
                </c:pt>
                <c:pt idx="286">
                  <c:v>285</c:v>
                </c:pt>
                <c:pt idx="287">
                  <c:v>286</c:v>
                </c:pt>
                <c:pt idx="288">
                  <c:v>287</c:v>
                </c:pt>
                <c:pt idx="289">
                  <c:v>288</c:v>
                </c:pt>
                <c:pt idx="290">
                  <c:v>289</c:v>
                </c:pt>
                <c:pt idx="291">
                  <c:v>290</c:v>
                </c:pt>
                <c:pt idx="292">
                  <c:v>291</c:v>
                </c:pt>
                <c:pt idx="293">
                  <c:v>292</c:v>
                </c:pt>
                <c:pt idx="294">
                  <c:v>293</c:v>
                </c:pt>
                <c:pt idx="295">
                  <c:v>294</c:v>
                </c:pt>
                <c:pt idx="296">
                  <c:v>295</c:v>
                </c:pt>
                <c:pt idx="297">
                  <c:v>296</c:v>
                </c:pt>
                <c:pt idx="298">
                  <c:v>297</c:v>
                </c:pt>
                <c:pt idx="299">
                  <c:v>298</c:v>
                </c:pt>
                <c:pt idx="300">
                  <c:v>299</c:v>
                </c:pt>
                <c:pt idx="301">
                  <c:v>300</c:v>
                </c:pt>
                <c:pt idx="302">
                  <c:v>301</c:v>
                </c:pt>
                <c:pt idx="303">
                  <c:v>302</c:v>
                </c:pt>
                <c:pt idx="304">
                  <c:v>303</c:v>
                </c:pt>
                <c:pt idx="305">
                  <c:v>304</c:v>
                </c:pt>
                <c:pt idx="306">
                  <c:v>305</c:v>
                </c:pt>
                <c:pt idx="307">
                  <c:v>306</c:v>
                </c:pt>
                <c:pt idx="308">
                  <c:v>307</c:v>
                </c:pt>
                <c:pt idx="309">
                  <c:v>308</c:v>
                </c:pt>
                <c:pt idx="310">
                  <c:v>309</c:v>
                </c:pt>
                <c:pt idx="311">
                  <c:v>310</c:v>
                </c:pt>
                <c:pt idx="312">
                  <c:v>311</c:v>
                </c:pt>
                <c:pt idx="313">
                  <c:v>312</c:v>
                </c:pt>
                <c:pt idx="314">
                  <c:v>313</c:v>
                </c:pt>
                <c:pt idx="315">
                  <c:v>314</c:v>
                </c:pt>
                <c:pt idx="316">
                  <c:v>315</c:v>
                </c:pt>
                <c:pt idx="317">
                  <c:v>316</c:v>
                </c:pt>
                <c:pt idx="318">
                  <c:v>317</c:v>
                </c:pt>
                <c:pt idx="319">
                  <c:v>318</c:v>
                </c:pt>
                <c:pt idx="320">
                  <c:v>319</c:v>
                </c:pt>
                <c:pt idx="321">
                  <c:v>320</c:v>
                </c:pt>
                <c:pt idx="322">
                  <c:v>321</c:v>
                </c:pt>
                <c:pt idx="323">
                  <c:v>322</c:v>
                </c:pt>
                <c:pt idx="324">
                  <c:v>323</c:v>
                </c:pt>
                <c:pt idx="325">
                  <c:v>324</c:v>
                </c:pt>
                <c:pt idx="326">
                  <c:v>325</c:v>
                </c:pt>
                <c:pt idx="327">
                  <c:v>326</c:v>
                </c:pt>
                <c:pt idx="328">
                  <c:v>327</c:v>
                </c:pt>
                <c:pt idx="329">
                  <c:v>328</c:v>
                </c:pt>
                <c:pt idx="330">
                  <c:v>329</c:v>
                </c:pt>
                <c:pt idx="331">
                  <c:v>330</c:v>
                </c:pt>
                <c:pt idx="332">
                  <c:v>331</c:v>
                </c:pt>
                <c:pt idx="333">
                  <c:v>332</c:v>
                </c:pt>
                <c:pt idx="334">
                  <c:v>333</c:v>
                </c:pt>
                <c:pt idx="335">
                  <c:v>334</c:v>
                </c:pt>
                <c:pt idx="336">
                  <c:v>335</c:v>
                </c:pt>
                <c:pt idx="337">
                  <c:v>336</c:v>
                </c:pt>
                <c:pt idx="338">
                  <c:v>337</c:v>
                </c:pt>
                <c:pt idx="339">
                  <c:v>338</c:v>
                </c:pt>
                <c:pt idx="340">
                  <c:v>339</c:v>
                </c:pt>
                <c:pt idx="341">
                  <c:v>340</c:v>
                </c:pt>
                <c:pt idx="342">
                  <c:v>341</c:v>
                </c:pt>
                <c:pt idx="343">
                  <c:v>342</c:v>
                </c:pt>
                <c:pt idx="344">
                  <c:v>343</c:v>
                </c:pt>
                <c:pt idx="345">
                  <c:v>344</c:v>
                </c:pt>
                <c:pt idx="346">
                  <c:v>345</c:v>
                </c:pt>
                <c:pt idx="347">
                  <c:v>346</c:v>
                </c:pt>
                <c:pt idx="348">
                  <c:v>347</c:v>
                </c:pt>
                <c:pt idx="349">
                  <c:v>348</c:v>
                </c:pt>
                <c:pt idx="350">
                  <c:v>349</c:v>
                </c:pt>
                <c:pt idx="351">
                  <c:v>350</c:v>
                </c:pt>
                <c:pt idx="352">
                  <c:v>351</c:v>
                </c:pt>
                <c:pt idx="353">
                  <c:v>352</c:v>
                </c:pt>
                <c:pt idx="354">
                  <c:v>353</c:v>
                </c:pt>
                <c:pt idx="355">
                  <c:v>354</c:v>
                </c:pt>
                <c:pt idx="356">
                  <c:v>355</c:v>
                </c:pt>
                <c:pt idx="357">
                  <c:v>356</c:v>
                </c:pt>
                <c:pt idx="358">
                  <c:v>357</c:v>
                </c:pt>
                <c:pt idx="359">
                  <c:v>358</c:v>
                </c:pt>
                <c:pt idx="360">
                  <c:v>359</c:v>
                </c:pt>
                <c:pt idx="361">
                  <c:v>360</c:v>
                </c:pt>
                <c:pt idx="362">
                  <c:v>361</c:v>
                </c:pt>
                <c:pt idx="363">
                  <c:v>362</c:v>
                </c:pt>
                <c:pt idx="364">
                  <c:v>363</c:v>
                </c:pt>
                <c:pt idx="365">
                  <c:v>364</c:v>
                </c:pt>
                <c:pt idx="366">
                  <c:v>365</c:v>
                </c:pt>
                <c:pt idx="367">
                  <c:v>366</c:v>
                </c:pt>
                <c:pt idx="368">
                  <c:v>367</c:v>
                </c:pt>
                <c:pt idx="369">
                  <c:v>368</c:v>
                </c:pt>
                <c:pt idx="370">
                  <c:v>369</c:v>
                </c:pt>
                <c:pt idx="371">
                  <c:v>370</c:v>
                </c:pt>
                <c:pt idx="372">
                  <c:v>371</c:v>
                </c:pt>
                <c:pt idx="373">
                  <c:v>372</c:v>
                </c:pt>
                <c:pt idx="374">
                  <c:v>373</c:v>
                </c:pt>
                <c:pt idx="375">
                  <c:v>374</c:v>
                </c:pt>
                <c:pt idx="376">
                  <c:v>375</c:v>
                </c:pt>
                <c:pt idx="377">
                  <c:v>376</c:v>
                </c:pt>
                <c:pt idx="378">
                  <c:v>377</c:v>
                </c:pt>
                <c:pt idx="379">
                  <c:v>378</c:v>
                </c:pt>
                <c:pt idx="380">
                  <c:v>379</c:v>
                </c:pt>
                <c:pt idx="381">
                  <c:v>380</c:v>
                </c:pt>
                <c:pt idx="382">
                  <c:v>381</c:v>
                </c:pt>
                <c:pt idx="383">
                  <c:v>382</c:v>
                </c:pt>
                <c:pt idx="384">
                  <c:v>383</c:v>
                </c:pt>
                <c:pt idx="385">
                  <c:v>384</c:v>
                </c:pt>
                <c:pt idx="386">
                  <c:v>385</c:v>
                </c:pt>
                <c:pt idx="387">
                  <c:v>386</c:v>
                </c:pt>
                <c:pt idx="388">
                  <c:v>387</c:v>
                </c:pt>
                <c:pt idx="389">
                  <c:v>388</c:v>
                </c:pt>
                <c:pt idx="390">
                  <c:v>389</c:v>
                </c:pt>
                <c:pt idx="391">
                  <c:v>390</c:v>
                </c:pt>
                <c:pt idx="392">
                  <c:v>391</c:v>
                </c:pt>
                <c:pt idx="393">
                  <c:v>392</c:v>
                </c:pt>
                <c:pt idx="394">
                  <c:v>393</c:v>
                </c:pt>
                <c:pt idx="395">
                  <c:v>394</c:v>
                </c:pt>
                <c:pt idx="396">
                  <c:v>395</c:v>
                </c:pt>
                <c:pt idx="397">
                  <c:v>396</c:v>
                </c:pt>
                <c:pt idx="398">
                  <c:v>397</c:v>
                </c:pt>
                <c:pt idx="399">
                  <c:v>398</c:v>
                </c:pt>
                <c:pt idx="400">
                  <c:v>399</c:v>
                </c:pt>
                <c:pt idx="401">
                  <c:v>400</c:v>
                </c:pt>
                <c:pt idx="402">
                  <c:v>401</c:v>
                </c:pt>
                <c:pt idx="403">
                  <c:v>402</c:v>
                </c:pt>
                <c:pt idx="404">
                  <c:v>403</c:v>
                </c:pt>
                <c:pt idx="405">
                  <c:v>404</c:v>
                </c:pt>
                <c:pt idx="406">
                  <c:v>405</c:v>
                </c:pt>
                <c:pt idx="407">
                  <c:v>406</c:v>
                </c:pt>
                <c:pt idx="408">
                  <c:v>407</c:v>
                </c:pt>
                <c:pt idx="409">
                  <c:v>408</c:v>
                </c:pt>
                <c:pt idx="410">
                  <c:v>409</c:v>
                </c:pt>
                <c:pt idx="411">
                  <c:v>410</c:v>
                </c:pt>
                <c:pt idx="412">
                  <c:v>411</c:v>
                </c:pt>
                <c:pt idx="413">
                  <c:v>412</c:v>
                </c:pt>
                <c:pt idx="414">
                  <c:v>413</c:v>
                </c:pt>
                <c:pt idx="415">
                  <c:v>414</c:v>
                </c:pt>
                <c:pt idx="416">
                  <c:v>415</c:v>
                </c:pt>
                <c:pt idx="417">
                  <c:v>416</c:v>
                </c:pt>
                <c:pt idx="418">
                  <c:v>417</c:v>
                </c:pt>
                <c:pt idx="419">
                  <c:v>418</c:v>
                </c:pt>
                <c:pt idx="420">
                  <c:v>419</c:v>
                </c:pt>
                <c:pt idx="421">
                  <c:v>420</c:v>
                </c:pt>
                <c:pt idx="422">
                  <c:v>421</c:v>
                </c:pt>
                <c:pt idx="423">
                  <c:v>422</c:v>
                </c:pt>
                <c:pt idx="424">
                  <c:v>423</c:v>
                </c:pt>
                <c:pt idx="425">
                  <c:v>424</c:v>
                </c:pt>
                <c:pt idx="426">
                  <c:v>425</c:v>
                </c:pt>
                <c:pt idx="427">
                  <c:v>426</c:v>
                </c:pt>
                <c:pt idx="428">
                  <c:v>427</c:v>
                </c:pt>
                <c:pt idx="429">
                  <c:v>428</c:v>
                </c:pt>
                <c:pt idx="430">
                  <c:v>429</c:v>
                </c:pt>
                <c:pt idx="431">
                  <c:v>430</c:v>
                </c:pt>
                <c:pt idx="432">
                  <c:v>431</c:v>
                </c:pt>
                <c:pt idx="433">
                  <c:v>432</c:v>
                </c:pt>
                <c:pt idx="434">
                  <c:v>433</c:v>
                </c:pt>
                <c:pt idx="435">
                  <c:v>434</c:v>
                </c:pt>
                <c:pt idx="436">
                  <c:v>435</c:v>
                </c:pt>
                <c:pt idx="437">
                  <c:v>436</c:v>
                </c:pt>
                <c:pt idx="438">
                  <c:v>437</c:v>
                </c:pt>
                <c:pt idx="439">
                  <c:v>438</c:v>
                </c:pt>
                <c:pt idx="440">
                  <c:v>439</c:v>
                </c:pt>
                <c:pt idx="441">
                  <c:v>440</c:v>
                </c:pt>
                <c:pt idx="442">
                  <c:v>441</c:v>
                </c:pt>
                <c:pt idx="443">
                  <c:v>442</c:v>
                </c:pt>
                <c:pt idx="444">
                  <c:v>443</c:v>
                </c:pt>
                <c:pt idx="445">
                  <c:v>444</c:v>
                </c:pt>
                <c:pt idx="446">
                  <c:v>445</c:v>
                </c:pt>
                <c:pt idx="447">
                  <c:v>446</c:v>
                </c:pt>
                <c:pt idx="448">
                  <c:v>447</c:v>
                </c:pt>
                <c:pt idx="449">
                  <c:v>448</c:v>
                </c:pt>
                <c:pt idx="450">
                  <c:v>449</c:v>
                </c:pt>
                <c:pt idx="451">
                  <c:v>450</c:v>
                </c:pt>
                <c:pt idx="452">
                  <c:v>451</c:v>
                </c:pt>
                <c:pt idx="453">
                  <c:v>452</c:v>
                </c:pt>
                <c:pt idx="454">
                  <c:v>453</c:v>
                </c:pt>
                <c:pt idx="455">
                  <c:v>454</c:v>
                </c:pt>
                <c:pt idx="456">
                  <c:v>455</c:v>
                </c:pt>
                <c:pt idx="457">
                  <c:v>456</c:v>
                </c:pt>
                <c:pt idx="458">
                  <c:v>457</c:v>
                </c:pt>
                <c:pt idx="459">
                  <c:v>458</c:v>
                </c:pt>
                <c:pt idx="460">
                  <c:v>459</c:v>
                </c:pt>
                <c:pt idx="461">
                  <c:v>460</c:v>
                </c:pt>
                <c:pt idx="462">
                  <c:v>461</c:v>
                </c:pt>
                <c:pt idx="463">
                  <c:v>462</c:v>
                </c:pt>
                <c:pt idx="464">
                  <c:v>463</c:v>
                </c:pt>
                <c:pt idx="465">
                  <c:v>464</c:v>
                </c:pt>
                <c:pt idx="466">
                  <c:v>465</c:v>
                </c:pt>
                <c:pt idx="467">
                  <c:v>466</c:v>
                </c:pt>
                <c:pt idx="468">
                  <c:v>467</c:v>
                </c:pt>
                <c:pt idx="469">
                  <c:v>468</c:v>
                </c:pt>
                <c:pt idx="470">
                  <c:v>469</c:v>
                </c:pt>
                <c:pt idx="471">
                  <c:v>470</c:v>
                </c:pt>
                <c:pt idx="472">
                  <c:v>471</c:v>
                </c:pt>
                <c:pt idx="473">
                  <c:v>472</c:v>
                </c:pt>
                <c:pt idx="474">
                  <c:v>473</c:v>
                </c:pt>
                <c:pt idx="475">
                  <c:v>474</c:v>
                </c:pt>
                <c:pt idx="476">
                  <c:v>475</c:v>
                </c:pt>
                <c:pt idx="477">
                  <c:v>476</c:v>
                </c:pt>
                <c:pt idx="478">
                  <c:v>477</c:v>
                </c:pt>
                <c:pt idx="479">
                  <c:v>478</c:v>
                </c:pt>
                <c:pt idx="480">
                  <c:v>479</c:v>
                </c:pt>
                <c:pt idx="481">
                  <c:v>480</c:v>
                </c:pt>
                <c:pt idx="482">
                  <c:v>481</c:v>
                </c:pt>
                <c:pt idx="483">
                  <c:v>482</c:v>
                </c:pt>
                <c:pt idx="484">
                  <c:v>483</c:v>
                </c:pt>
                <c:pt idx="485">
                  <c:v>484</c:v>
                </c:pt>
                <c:pt idx="486">
                  <c:v>485</c:v>
                </c:pt>
                <c:pt idx="487">
                  <c:v>486</c:v>
                </c:pt>
                <c:pt idx="488">
                  <c:v>487</c:v>
                </c:pt>
                <c:pt idx="489">
                  <c:v>488</c:v>
                </c:pt>
                <c:pt idx="490">
                  <c:v>489</c:v>
                </c:pt>
                <c:pt idx="491">
                  <c:v>490</c:v>
                </c:pt>
                <c:pt idx="492">
                  <c:v>491</c:v>
                </c:pt>
                <c:pt idx="493">
                  <c:v>492</c:v>
                </c:pt>
                <c:pt idx="494">
                  <c:v>493</c:v>
                </c:pt>
                <c:pt idx="495">
                  <c:v>494</c:v>
                </c:pt>
                <c:pt idx="496">
                  <c:v>495</c:v>
                </c:pt>
                <c:pt idx="497">
                  <c:v>496</c:v>
                </c:pt>
                <c:pt idx="498">
                  <c:v>497</c:v>
                </c:pt>
                <c:pt idx="499">
                  <c:v>498</c:v>
                </c:pt>
                <c:pt idx="500">
                  <c:v>499</c:v>
                </c:pt>
                <c:pt idx="501">
                  <c:v>500</c:v>
                </c:pt>
                <c:pt idx="502">
                  <c:v>501</c:v>
                </c:pt>
                <c:pt idx="503">
                  <c:v>502</c:v>
                </c:pt>
                <c:pt idx="504">
                  <c:v>503</c:v>
                </c:pt>
                <c:pt idx="505">
                  <c:v>504</c:v>
                </c:pt>
                <c:pt idx="506">
                  <c:v>505</c:v>
                </c:pt>
                <c:pt idx="507">
                  <c:v>506</c:v>
                </c:pt>
                <c:pt idx="508">
                  <c:v>507</c:v>
                </c:pt>
                <c:pt idx="509">
                  <c:v>508</c:v>
                </c:pt>
                <c:pt idx="510">
                  <c:v>509</c:v>
                </c:pt>
                <c:pt idx="511">
                  <c:v>510</c:v>
                </c:pt>
                <c:pt idx="512">
                  <c:v>511</c:v>
                </c:pt>
                <c:pt idx="513">
                  <c:v>512</c:v>
                </c:pt>
                <c:pt idx="514">
                  <c:v>513</c:v>
                </c:pt>
                <c:pt idx="515">
                  <c:v>514</c:v>
                </c:pt>
                <c:pt idx="516">
                  <c:v>515</c:v>
                </c:pt>
                <c:pt idx="517">
                  <c:v>516</c:v>
                </c:pt>
                <c:pt idx="518">
                  <c:v>517</c:v>
                </c:pt>
                <c:pt idx="519">
                  <c:v>518</c:v>
                </c:pt>
                <c:pt idx="520">
                  <c:v>519</c:v>
                </c:pt>
                <c:pt idx="521">
                  <c:v>520</c:v>
                </c:pt>
                <c:pt idx="522">
                  <c:v>521</c:v>
                </c:pt>
                <c:pt idx="523">
                  <c:v>522</c:v>
                </c:pt>
                <c:pt idx="524">
                  <c:v>523</c:v>
                </c:pt>
                <c:pt idx="525">
                  <c:v>524</c:v>
                </c:pt>
                <c:pt idx="526">
                  <c:v>525</c:v>
                </c:pt>
                <c:pt idx="527">
                  <c:v>526</c:v>
                </c:pt>
                <c:pt idx="528">
                  <c:v>527</c:v>
                </c:pt>
                <c:pt idx="529">
                  <c:v>528</c:v>
                </c:pt>
                <c:pt idx="530">
                  <c:v>529</c:v>
                </c:pt>
                <c:pt idx="531">
                  <c:v>530</c:v>
                </c:pt>
                <c:pt idx="532">
                  <c:v>531</c:v>
                </c:pt>
                <c:pt idx="533">
                  <c:v>532</c:v>
                </c:pt>
                <c:pt idx="534">
                  <c:v>533</c:v>
                </c:pt>
                <c:pt idx="535">
                  <c:v>534</c:v>
                </c:pt>
                <c:pt idx="536">
                  <c:v>535</c:v>
                </c:pt>
                <c:pt idx="537">
                  <c:v>536</c:v>
                </c:pt>
                <c:pt idx="538">
                  <c:v>537</c:v>
                </c:pt>
                <c:pt idx="539">
                  <c:v>538</c:v>
                </c:pt>
                <c:pt idx="540">
                  <c:v>539</c:v>
                </c:pt>
                <c:pt idx="541">
                  <c:v>540</c:v>
                </c:pt>
                <c:pt idx="542">
                  <c:v>541</c:v>
                </c:pt>
                <c:pt idx="543">
                  <c:v>542</c:v>
                </c:pt>
                <c:pt idx="544">
                  <c:v>543</c:v>
                </c:pt>
                <c:pt idx="545">
                  <c:v>544</c:v>
                </c:pt>
                <c:pt idx="546">
                  <c:v>545</c:v>
                </c:pt>
                <c:pt idx="547">
                  <c:v>546</c:v>
                </c:pt>
                <c:pt idx="548">
                  <c:v>547</c:v>
                </c:pt>
                <c:pt idx="549">
                  <c:v>548</c:v>
                </c:pt>
                <c:pt idx="550">
                  <c:v>549</c:v>
                </c:pt>
                <c:pt idx="551">
                  <c:v>550</c:v>
                </c:pt>
                <c:pt idx="552">
                  <c:v>551</c:v>
                </c:pt>
                <c:pt idx="553">
                  <c:v>552</c:v>
                </c:pt>
                <c:pt idx="554">
                  <c:v>553</c:v>
                </c:pt>
                <c:pt idx="555">
                  <c:v>554</c:v>
                </c:pt>
                <c:pt idx="556">
                  <c:v>555</c:v>
                </c:pt>
                <c:pt idx="557">
                  <c:v>556</c:v>
                </c:pt>
                <c:pt idx="558">
                  <c:v>557</c:v>
                </c:pt>
                <c:pt idx="559">
                  <c:v>558</c:v>
                </c:pt>
                <c:pt idx="560">
                  <c:v>559</c:v>
                </c:pt>
                <c:pt idx="561">
                  <c:v>560</c:v>
                </c:pt>
                <c:pt idx="562">
                  <c:v>561</c:v>
                </c:pt>
                <c:pt idx="563">
                  <c:v>562</c:v>
                </c:pt>
                <c:pt idx="564">
                  <c:v>563</c:v>
                </c:pt>
                <c:pt idx="565">
                  <c:v>564</c:v>
                </c:pt>
                <c:pt idx="566">
                  <c:v>565</c:v>
                </c:pt>
                <c:pt idx="567">
                  <c:v>566</c:v>
                </c:pt>
                <c:pt idx="568">
                  <c:v>567</c:v>
                </c:pt>
                <c:pt idx="569">
                  <c:v>568</c:v>
                </c:pt>
                <c:pt idx="570">
                  <c:v>569</c:v>
                </c:pt>
                <c:pt idx="571">
                  <c:v>570</c:v>
                </c:pt>
                <c:pt idx="572">
                  <c:v>571</c:v>
                </c:pt>
                <c:pt idx="573">
                  <c:v>572</c:v>
                </c:pt>
                <c:pt idx="574">
                  <c:v>573</c:v>
                </c:pt>
                <c:pt idx="575">
                  <c:v>574</c:v>
                </c:pt>
                <c:pt idx="576">
                  <c:v>575</c:v>
                </c:pt>
                <c:pt idx="577">
                  <c:v>576</c:v>
                </c:pt>
                <c:pt idx="578">
                  <c:v>577</c:v>
                </c:pt>
                <c:pt idx="579">
                  <c:v>578</c:v>
                </c:pt>
                <c:pt idx="580">
                  <c:v>579</c:v>
                </c:pt>
                <c:pt idx="581">
                  <c:v>580</c:v>
                </c:pt>
                <c:pt idx="582">
                  <c:v>581</c:v>
                </c:pt>
                <c:pt idx="583">
                  <c:v>582</c:v>
                </c:pt>
                <c:pt idx="584">
                  <c:v>583</c:v>
                </c:pt>
                <c:pt idx="585">
                  <c:v>584</c:v>
                </c:pt>
                <c:pt idx="586">
                  <c:v>585</c:v>
                </c:pt>
                <c:pt idx="587">
                  <c:v>586</c:v>
                </c:pt>
                <c:pt idx="588">
                  <c:v>587</c:v>
                </c:pt>
                <c:pt idx="589">
                  <c:v>588</c:v>
                </c:pt>
                <c:pt idx="590">
                  <c:v>589</c:v>
                </c:pt>
                <c:pt idx="591">
                  <c:v>590</c:v>
                </c:pt>
                <c:pt idx="592">
                  <c:v>591</c:v>
                </c:pt>
                <c:pt idx="593">
                  <c:v>592</c:v>
                </c:pt>
                <c:pt idx="594">
                  <c:v>593</c:v>
                </c:pt>
                <c:pt idx="595">
                  <c:v>594</c:v>
                </c:pt>
                <c:pt idx="596">
                  <c:v>595</c:v>
                </c:pt>
                <c:pt idx="597">
                  <c:v>596</c:v>
                </c:pt>
                <c:pt idx="598">
                  <c:v>597</c:v>
                </c:pt>
                <c:pt idx="599">
                  <c:v>598</c:v>
                </c:pt>
                <c:pt idx="600">
                  <c:v>599</c:v>
                </c:pt>
                <c:pt idx="601">
                  <c:v>600</c:v>
                </c:pt>
                <c:pt idx="602">
                  <c:v>601</c:v>
                </c:pt>
                <c:pt idx="603">
                  <c:v>602</c:v>
                </c:pt>
                <c:pt idx="604">
                  <c:v>603</c:v>
                </c:pt>
                <c:pt idx="605">
                  <c:v>604</c:v>
                </c:pt>
                <c:pt idx="606">
                  <c:v>605</c:v>
                </c:pt>
                <c:pt idx="607">
                  <c:v>606</c:v>
                </c:pt>
                <c:pt idx="608">
                  <c:v>607</c:v>
                </c:pt>
                <c:pt idx="609">
                  <c:v>608</c:v>
                </c:pt>
                <c:pt idx="610">
                  <c:v>609</c:v>
                </c:pt>
                <c:pt idx="611">
                  <c:v>610</c:v>
                </c:pt>
                <c:pt idx="612">
                  <c:v>611</c:v>
                </c:pt>
                <c:pt idx="613">
                  <c:v>612</c:v>
                </c:pt>
                <c:pt idx="614">
                  <c:v>613</c:v>
                </c:pt>
                <c:pt idx="615">
                  <c:v>614</c:v>
                </c:pt>
                <c:pt idx="616">
                  <c:v>615</c:v>
                </c:pt>
                <c:pt idx="617">
                  <c:v>616</c:v>
                </c:pt>
                <c:pt idx="618">
                  <c:v>617</c:v>
                </c:pt>
                <c:pt idx="619">
                  <c:v>618</c:v>
                </c:pt>
                <c:pt idx="620">
                  <c:v>619</c:v>
                </c:pt>
                <c:pt idx="621">
                  <c:v>620</c:v>
                </c:pt>
                <c:pt idx="622">
                  <c:v>621</c:v>
                </c:pt>
                <c:pt idx="623">
                  <c:v>622</c:v>
                </c:pt>
                <c:pt idx="624">
                  <c:v>623</c:v>
                </c:pt>
                <c:pt idx="625">
                  <c:v>624</c:v>
                </c:pt>
                <c:pt idx="626">
                  <c:v>625</c:v>
                </c:pt>
                <c:pt idx="627">
                  <c:v>626</c:v>
                </c:pt>
                <c:pt idx="628">
                  <c:v>627</c:v>
                </c:pt>
                <c:pt idx="629">
                  <c:v>628</c:v>
                </c:pt>
                <c:pt idx="630">
                  <c:v>629</c:v>
                </c:pt>
                <c:pt idx="631">
                  <c:v>630</c:v>
                </c:pt>
                <c:pt idx="632">
                  <c:v>631</c:v>
                </c:pt>
                <c:pt idx="633">
                  <c:v>632</c:v>
                </c:pt>
                <c:pt idx="634">
                  <c:v>633</c:v>
                </c:pt>
                <c:pt idx="635">
                  <c:v>634</c:v>
                </c:pt>
                <c:pt idx="636">
                  <c:v>635</c:v>
                </c:pt>
                <c:pt idx="637">
                  <c:v>636</c:v>
                </c:pt>
                <c:pt idx="638">
                  <c:v>637</c:v>
                </c:pt>
                <c:pt idx="639">
                  <c:v>638</c:v>
                </c:pt>
                <c:pt idx="640">
                  <c:v>639</c:v>
                </c:pt>
                <c:pt idx="641">
                  <c:v>640</c:v>
                </c:pt>
                <c:pt idx="642">
                  <c:v>641</c:v>
                </c:pt>
                <c:pt idx="643">
                  <c:v>642</c:v>
                </c:pt>
                <c:pt idx="644">
                  <c:v>643</c:v>
                </c:pt>
                <c:pt idx="645">
                  <c:v>644</c:v>
                </c:pt>
                <c:pt idx="646">
                  <c:v>645</c:v>
                </c:pt>
                <c:pt idx="647">
                  <c:v>646</c:v>
                </c:pt>
                <c:pt idx="648">
                  <c:v>647</c:v>
                </c:pt>
                <c:pt idx="649">
                  <c:v>648</c:v>
                </c:pt>
                <c:pt idx="650">
                  <c:v>649</c:v>
                </c:pt>
                <c:pt idx="651">
                  <c:v>650</c:v>
                </c:pt>
                <c:pt idx="652">
                  <c:v>651</c:v>
                </c:pt>
                <c:pt idx="653">
                  <c:v>652</c:v>
                </c:pt>
                <c:pt idx="654">
                  <c:v>653</c:v>
                </c:pt>
                <c:pt idx="655">
                  <c:v>654</c:v>
                </c:pt>
                <c:pt idx="656">
                  <c:v>655</c:v>
                </c:pt>
                <c:pt idx="657">
                  <c:v>656</c:v>
                </c:pt>
                <c:pt idx="658">
                  <c:v>657</c:v>
                </c:pt>
                <c:pt idx="659">
                  <c:v>658</c:v>
                </c:pt>
                <c:pt idx="660">
                  <c:v>659</c:v>
                </c:pt>
                <c:pt idx="661">
                  <c:v>660</c:v>
                </c:pt>
                <c:pt idx="662">
                  <c:v>661</c:v>
                </c:pt>
                <c:pt idx="663">
                  <c:v>662</c:v>
                </c:pt>
                <c:pt idx="664">
                  <c:v>663</c:v>
                </c:pt>
                <c:pt idx="665">
                  <c:v>664</c:v>
                </c:pt>
                <c:pt idx="666">
                  <c:v>665</c:v>
                </c:pt>
                <c:pt idx="667">
                  <c:v>666</c:v>
                </c:pt>
                <c:pt idx="668">
                  <c:v>667</c:v>
                </c:pt>
                <c:pt idx="669">
                  <c:v>668</c:v>
                </c:pt>
                <c:pt idx="670">
                  <c:v>669</c:v>
                </c:pt>
                <c:pt idx="671">
                  <c:v>670</c:v>
                </c:pt>
                <c:pt idx="672">
                  <c:v>671</c:v>
                </c:pt>
                <c:pt idx="673">
                  <c:v>672</c:v>
                </c:pt>
                <c:pt idx="674">
                  <c:v>673</c:v>
                </c:pt>
                <c:pt idx="675">
                  <c:v>674</c:v>
                </c:pt>
                <c:pt idx="676">
                  <c:v>675</c:v>
                </c:pt>
                <c:pt idx="677">
                  <c:v>676</c:v>
                </c:pt>
                <c:pt idx="678">
                  <c:v>677</c:v>
                </c:pt>
                <c:pt idx="679">
                  <c:v>678</c:v>
                </c:pt>
                <c:pt idx="680">
                  <c:v>679</c:v>
                </c:pt>
                <c:pt idx="681">
                  <c:v>680</c:v>
                </c:pt>
                <c:pt idx="682">
                  <c:v>681</c:v>
                </c:pt>
                <c:pt idx="683">
                  <c:v>682</c:v>
                </c:pt>
                <c:pt idx="684">
                  <c:v>683</c:v>
                </c:pt>
                <c:pt idx="685">
                  <c:v>684</c:v>
                </c:pt>
                <c:pt idx="686">
                  <c:v>685</c:v>
                </c:pt>
                <c:pt idx="687">
                  <c:v>686</c:v>
                </c:pt>
                <c:pt idx="688">
                  <c:v>687</c:v>
                </c:pt>
                <c:pt idx="689">
                  <c:v>688</c:v>
                </c:pt>
                <c:pt idx="690">
                  <c:v>689</c:v>
                </c:pt>
                <c:pt idx="691">
                  <c:v>690</c:v>
                </c:pt>
                <c:pt idx="692">
                  <c:v>691</c:v>
                </c:pt>
                <c:pt idx="693">
                  <c:v>692</c:v>
                </c:pt>
                <c:pt idx="694">
                  <c:v>693</c:v>
                </c:pt>
                <c:pt idx="695">
                  <c:v>694</c:v>
                </c:pt>
                <c:pt idx="696">
                  <c:v>695</c:v>
                </c:pt>
                <c:pt idx="697">
                  <c:v>696</c:v>
                </c:pt>
                <c:pt idx="698">
                  <c:v>697</c:v>
                </c:pt>
                <c:pt idx="699">
                  <c:v>698</c:v>
                </c:pt>
                <c:pt idx="700">
                  <c:v>699</c:v>
                </c:pt>
                <c:pt idx="701">
                  <c:v>700</c:v>
                </c:pt>
                <c:pt idx="702">
                  <c:v>701</c:v>
                </c:pt>
                <c:pt idx="703">
                  <c:v>702</c:v>
                </c:pt>
                <c:pt idx="704">
                  <c:v>703</c:v>
                </c:pt>
                <c:pt idx="705">
                  <c:v>704</c:v>
                </c:pt>
                <c:pt idx="706">
                  <c:v>705</c:v>
                </c:pt>
                <c:pt idx="707">
                  <c:v>706</c:v>
                </c:pt>
                <c:pt idx="708">
                  <c:v>707</c:v>
                </c:pt>
                <c:pt idx="709">
                  <c:v>708</c:v>
                </c:pt>
                <c:pt idx="710">
                  <c:v>709</c:v>
                </c:pt>
                <c:pt idx="711">
                  <c:v>710</c:v>
                </c:pt>
                <c:pt idx="712">
                  <c:v>711</c:v>
                </c:pt>
                <c:pt idx="713">
                  <c:v>712</c:v>
                </c:pt>
                <c:pt idx="714">
                  <c:v>713</c:v>
                </c:pt>
                <c:pt idx="715">
                  <c:v>714</c:v>
                </c:pt>
                <c:pt idx="716">
                  <c:v>715</c:v>
                </c:pt>
                <c:pt idx="717">
                  <c:v>716</c:v>
                </c:pt>
                <c:pt idx="718">
                  <c:v>717</c:v>
                </c:pt>
                <c:pt idx="719">
                  <c:v>718</c:v>
                </c:pt>
                <c:pt idx="720">
                  <c:v>719</c:v>
                </c:pt>
                <c:pt idx="721">
                  <c:v>720</c:v>
                </c:pt>
                <c:pt idx="722">
                  <c:v>721</c:v>
                </c:pt>
                <c:pt idx="723">
                  <c:v>722</c:v>
                </c:pt>
                <c:pt idx="724">
                  <c:v>723</c:v>
                </c:pt>
                <c:pt idx="725">
                  <c:v>724</c:v>
                </c:pt>
                <c:pt idx="726">
                  <c:v>725</c:v>
                </c:pt>
                <c:pt idx="727">
                  <c:v>726</c:v>
                </c:pt>
                <c:pt idx="728">
                  <c:v>727</c:v>
                </c:pt>
                <c:pt idx="729">
                  <c:v>728</c:v>
                </c:pt>
                <c:pt idx="730">
                  <c:v>729</c:v>
                </c:pt>
                <c:pt idx="731">
                  <c:v>730</c:v>
                </c:pt>
                <c:pt idx="732">
                  <c:v>731</c:v>
                </c:pt>
                <c:pt idx="733">
                  <c:v>732</c:v>
                </c:pt>
                <c:pt idx="734">
                  <c:v>733</c:v>
                </c:pt>
                <c:pt idx="735">
                  <c:v>734</c:v>
                </c:pt>
                <c:pt idx="736">
                  <c:v>735</c:v>
                </c:pt>
                <c:pt idx="737">
                  <c:v>736</c:v>
                </c:pt>
                <c:pt idx="738">
                  <c:v>737</c:v>
                </c:pt>
                <c:pt idx="739">
                  <c:v>738</c:v>
                </c:pt>
                <c:pt idx="740">
                  <c:v>739</c:v>
                </c:pt>
                <c:pt idx="741">
                  <c:v>740</c:v>
                </c:pt>
                <c:pt idx="742">
                  <c:v>741</c:v>
                </c:pt>
                <c:pt idx="743">
                  <c:v>742</c:v>
                </c:pt>
                <c:pt idx="744">
                  <c:v>743</c:v>
                </c:pt>
                <c:pt idx="745">
                  <c:v>744</c:v>
                </c:pt>
                <c:pt idx="746">
                  <c:v>745</c:v>
                </c:pt>
                <c:pt idx="747">
                  <c:v>746</c:v>
                </c:pt>
                <c:pt idx="748">
                  <c:v>747</c:v>
                </c:pt>
                <c:pt idx="749">
                  <c:v>748</c:v>
                </c:pt>
                <c:pt idx="750">
                  <c:v>749</c:v>
                </c:pt>
                <c:pt idx="751">
                  <c:v>750</c:v>
                </c:pt>
                <c:pt idx="752">
                  <c:v>751</c:v>
                </c:pt>
                <c:pt idx="753">
                  <c:v>752</c:v>
                </c:pt>
                <c:pt idx="754">
                  <c:v>753</c:v>
                </c:pt>
                <c:pt idx="755">
                  <c:v>754</c:v>
                </c:pt>
                <c:pt idx="756">
                  <c:v>755</c:v>
                </c:pt>
                <c:pt idx="757">
                  <c:v>756</c:v>
                </c:pt>
                <c:pt idx="758">
                  <c:v>757</c:v>
                </c:pt>
                <c:pt idx="759">
                  <c:v>758</c:v>
                </c:pt>
                <c:pt idx="760">
                  <c:v>759</c:v>
                </c:pt>
                <c:pt idx="761">
                  <c:v>760</c:v>
                </c:pt>
                <c:pt idx="762">
                  <c:v>761</c:v>
                </c:pt>
                <c:pt idx="763">
                  <c:v>762</c:v>
                </c:pt>
                <c:pt idx="764">
                  <c:v>763</c:v>
                </c:pt>
                <c:pt idx="765">
                  <c:v>764</c:v>
                </c:pt>
                <c:pt idx="766">
                  <c:v>765</c:v>
                </c:pt>
                <c:pt idx="767">
                  <c:v>766</c:v>
                </c:pt>
                <c:pt idx="768">
                  <c:v>767</c:v>
                </c:pt>
                <c:pt idx="769">
                  <c:v>768</c:v>
                </c:pt>
                <c:pt idx="770">
                  <c:v>769</c:v>
                </c:pt>
                <c:pt idx="771">
                  <c:v>770</c:v>
                </c:pt>
                <c:pt idx="772">
                  <c:v>771</c:v>
                </c:pt>
                <c:pt idx="773">
                  <c:v>772</c:v>
                </c:pt>
                <c:pt idx="774">
                  <c:v>773</c:v>
                </c:pt>
                <c:pt idx="775">
                  <c:v>774</c:v>
                </c:pt>
                <c:pt idx="776">
                  <c:v>775</c:v>
                </c:pt>
                <c:pt idx="777">
                  <c:v>776</c:v>
                </c:pt>
                <c:pt idx="778">
                  <c:v>777</c:v>
                </c:pt>
                <c:pt idx="779">
                  <c:v>778</c:v>
                </c:pt>
                <c:pt idx="780">
                  <c:v>779</c:v>
                </c:pt>
                <c:pt idx="781">
                  <c:v>780</c:v>
                </c:pt>
                <c:pt idx="782">
                  <c:v>781</c:v>
                </c:pt>
                <c:pt idx="783">
                  <c:v>782</c:v>
                </c:pt>
                <c:pt idx="784">
                  <c:v>783</c:v>
                </c:pt>
                <c:pt idx="785">
                  <c:v>784</c:v>
                </c:pt>
                <c:pt idx="786">
                  <c:v>785</c:v>
                </c:pt>
                <c:pt idx="787">
                  <c:v>786</c:v>
                </c:pt>
                <c:pt idx="788">
                  <c:v>787</c:v>
                </c:pt>
                <c:pt idx="789">
                  <c:v>788</c:v>
                </c:pt>
                <c:pt idx="790">
                  <c:v>789</c:v>
                </c:pt>
                <c:pt idx="791">
                  <c:v>790</c:v>
                </c:pt>
                <c:pt idx="792">
                  <c:v>791</c:v>
                </c:pt>
                <c:pt idx="793">
                  <c:v>792</c:v>
                </c:pt>
                <c:pt idx="794">
                  <c:v>793</c:v>
                </c:pt>
                <c:pt idx="795">
                  <c:v>794</c:v>
                </c:pt>
                <c:pt idx="796">
                  <c:v>795</c:v>
                </c:pt>
                <c:pt idx="797">
                  <c:v>796</c:v>
                </c:pt>
                <c:pt idx="798">
                  <c:v>797</c:v>
                </c:pt>
                <c:pt idx="799">
                  <c:v>798</c:v>
                </c:pt>
                <c:pt idx="800">
                  <c:v>799</c:v>
                </c:pt>
                <c:pt idx="801">
                  <c:v>800</c:v>
                </c:pt>
                <c:pt idx="802">
                  <c:v>801</c:v>
                </c:pt>
                <c:pt idx="803">
                  <c:v>802</c:v>
                </c:pt>
                <c:pt idx="804">
                  <c:v>803</c:v>
                </c:pt>
                <c:pt idx="805">
                  <c:v>804</c:v>
                </c:pt>
                <c:pt idx="806">
                  <c:v>805</c:v>
                </c:pt>
                <c:pt idx="807">
                  <c:v>806</c:v>
                </c:pt>
                <c:pt idx="808">
                  <c:v>807</c:v>
                </c:pt>
                <c:pt idx="809">
                  <c:v>808</c:v>
                </c:pt>
                <c:pt idx="810">
                  <c:v>809</c:v>
                </c:pt>
                <c:pt idx="811">
                  <c:v>810</c:v>
                </c:pt>
                <c:pt idx="812">
                  <c:v>811</c:v>
                </c:pt>
                <c:pt idx="813">
                  <c:v>812</c:v>
                </c:pt>
                <c:pt idx="814">
                  <c:v>813</c:v>
                </c:pt>
                <c:pt idx="815">
                  <c:v>814</c:v>
                </c:pt>
                <c:pt idx="816">
                  <c:v>815</c:v>
                </c:pt>
                <c:pt idx="817">
                  <c:v>816</c:v>
                </c:pt>
                <c:pt idx="818">
                  <c:v>817</c:v>
                </c:pt>
                <c:pt idx="819">
                  <c:v>818</c:v>
                </c:pt>
                <c:pt idx="820">
                  <c:v>819</c:v>
                </c:pt>
                <c:pt idx="821">
                  <c:v>820</c:v>
                </c:pt>
                <c:pt idx="822">
                  <c:v>821</c:v>
                </c:pt>
                <c:pt idx="823">
                  <c:v>822</c:v>
                </c:pt>
                <c:pt idx="824">
                  <c:v>823</c:v>
                </c:pt>
                <c:pt idx="825">
                  <c:v>824</c:v>
                </c:pt>
                <c:pt idx="826">
                  <c:v>825</c:v>
                </c:pt>
                <c:pt idx="827">
                  <c:v>826</c:v>
                </c:pt>
                <c:pt idx="828">
                  <c:v>827</c:v>
                </c:pt>
                <c:pt idx="829">
                  <c:v>828</c:v>
                </c:pt>
                <c:pt idx="830">
                  <c:v>829</c:v>
                </c:pt>
                <c:pt idx="831">
                  <c:v>830</c:v>
                </c:pt>
                <c:pt idx="832">
                  <c:v>831</c:v>
                </c:pt>
                <c:pt idx="833">
                  <c:v>832</c:v>
                </c:pt>
                <c:pt idx="834">
                  <c:v>833</c:v>
                </c:pt>
                <c:pt idx="835">
                  <c:v>834</c:v>
                </c:pt>
                <c:pt idx="836">
                  <c:v>835</c:v>
                </c:pt>
                <c:pt idx="837">
                  <c:v>836</c:v>
                </c:pt>
                <c:pt idx="838">
                  <c:v>837</c:v>
                </c:pt>
                <c:pt idx="839">
                  <c:v>838</c:v>
                </c:pt>
                <c:pt idx="840">
                  <c:v>839</c:v>
                </c:pt>
                <c:pt idx="841">
                  <c:v>840</c:v>
                </c:pt>
                <c:pt idx="842">
                  <c:v>841</c:v>
                </c:pt>
                <c:pt idx="843">
                  <c:v>842</c:v>
                </c:pt>
                <c:pt idx="844">
                  <c:v>843</c:v>
                </c:pt>
                <c:pt idx="845">
                  <c:v>844</c:v>
                </c:pt>
                <c:pt idx="846">
                  <c:v>845</c:v>
                </c:pt>
                <c:pt idx="847">
                  <c:v>846</c:v>
                </c:pt>
                <c:pt idx="848">
                  <c:v>847</c:v>
                </c:pt>
                <c:pt idx="849">
                  <c:v>848</c:v>
                </c:pt>
                <c:pt idx="850">
                  <c:v>849</c:v>
                </c:pt>
                <c:pt idx="851">
                  <c:v>850</c:v>
                </c:pt>
                <c:pt idx="852">
                  <c:v>851</c:v>
                </c:pt>
                <c:pt idx="853">
                  <c:v>852</c:v>
                </c:pt>
                <c:pt idx="854">
                  <c:v>853</c:v>
                </c:pt>
                <c:pt idx="855">
                  <c:v>854</c:v>
                </c:pt>
                <c:pt idx="856">
                  <c:v>855</c:v>
                </c:pt>
                <c:pt idx="857">
                  <c:v>856</c:v>
                </c:pt>
                <c:pt idx="858">
                  <c:v>857</c:v>
                </c:pt>
                <c:pt idx="859">
                  <c:v>858</c:v>
                </c:pt>
                <c:pt idx="860">
                  <c:v>859</c:v>
                </c:pt>
                <c:pt idx="861">
                  <c:v>860</c:v>
                </c:pt>
                <c:pt idx="862">
                  <c:v>861</c:v>
                </c:pt>
                <c:pt idx="863">
                  <c:v>862</c:v>
                </c:pt>
                <c:pt idx="864">
                  <c:v>863</c:v>
                </c:pt>
                <c:pt idx="865">
                  <c:v>864</c:v>
                </c:pt>
                <c:pt idx="866">
                  <c:v>865</c:v>
                </c:pt>
                <c:pt idx="867">
                  <c:v>866</c:v>
                </c:pt>
                <c:pt idx="868">
                  <c:v>867</c:v>
                </c:pt>
                <c:pt idx="869">
                  <c:v>868</c:v>
                </c:pt>
                <c:pt idx="870">
                  <c:v>869</c:v>
                </c:pt>
                <c:pt idx="871">
                  <c:v>870</c:v>
                </c:pt>
                <c:pt idx="872">
                  <c:v>871</c:v>
                </c:pt>
                <c:pt idx="873">
                  <c:v>872</c:v>
                </c:pt>
                <c:pt idx="874">
                  <c:v>873</c:v>
                </c:pt>
                <c:pt idx="875">
                  <c:v>874</c:v>
                </c:pt>
                <c:pt idx="876">
                  <c:v>875</c:v>
                </c:pt>
                <c:pt idx="877">
                  <c:v>876</c:v>
                </c:pt>
                <c:pt idx="878">
                  <c:v>877</c:v>
                </c:pt>
                <c:pt idx="879">
                  <c:v>878</c:v>
                </c:pt>
                <c:pt idx="880">
                  <c:v>879</c:v>
                </c:pt>
                <c:pt idx="881">
                  <c:v>880</c:v>
                </c:pt>
                <c:pt idx="882">
                  <c:v>881</c:v>
                </c:pt>
                <c:pt idx="883">
                  <c:v>882</c:v>
                </c:pt>
                <c:pt idx="884">
                  <c:v>883</c:v>
                </c:pt>
                <c:pt idx="885">
                  <c:v>884</c:v>
                </c:pt>
                <c:pt idx="886">
                  <c:v>885</c:v>
                </c:pt>
                <c:pt idx="887">
                  <c:v>886</c:v>
                </c:pt>
                <c:pt idx="888">
                  <c:v>887</c:v>
                </c:pt>
                <c:pt idx="889">
                  <c:v>888</c:v>
                </c:pt>
                <c:pt idx="890">
                  <c:v>889</c:v>
                </c:pt>
                <c:pt idx="891">
                  <c:v>890</c:v>
                </c:pt>
                <c:pt idx="892">
                  <c:v>891</c:v>
                </c:pt>
                <c:pt idx="893">
                  <c:v>892</c:v>
                </c:pt>
                <c:pt idx="894">
                  <c:v>893</c:v>
                </c:pt>
                <c:pt idx="895">
                  <c:v>894</c:v>
                </c:pt>
                <c:pt idx="896">
                  <c:v>895</c:v>
                </c:pt>
                <c:pt idx="897">
                  <c:v>896</c:v>
                </c:pt>
                <c:pt idx="898">
                  <c:v>897</c:v>
                </c:pt>
                <c:pt idx="899">
                  <c:v>898</c:v>
                </c:pt>
                <c:pt idx="900">
                  <c:v>899</c:v>
                </c:pt>
              </c:strCache>
            </c:strRef>
          </c:xVal>
          <c:yVal>
            <c:numRef>
              <c:f>'Step 5 Routing'!$I$12:$I$912</c:f>
              <c:numCache>
                <c:formatCode>#,##0.000</c:formatCode>
                <c:ptCount val="901"/>
                <c:pt idx="0" formatCode="General">
                  <c:v>0</c:v>
                </c:pt>
                <c:pt idx="1">
                  <c:v>4.3639431710317386E-3</c:v>
                </c:pt>
                <c:pt idx="2">
                  <c:v>4.7411629453301771E-3</c:v>
                </c:pt>
                <c:pt idx="3">
                  <c:v>5.8899284307072893E-3</c:v>
                </c:pt>
                <c:pt idx="4">
                  <c:v>8.1440316975988532E-3</c:v>
                </c:pt>
                <c:pt idx="5">
                  <c:v>1.1855366033281974E-2</c:v>
                </c:pt>
                <c:pt idx="6">
                  <c:v>1.7493501756336762E-2</c:v>
                </c:pt>
                <c:pt idx="7">
                  <c:v>3.4947516969048409E-2</c:v>
                </c:pt>
                <c:pt idx="8">
                  <c:v>5.9752162298880487E-2</c:v>
                </c:pt>
                <c:pt idx="9">
                  <c:v>7.0852813836428899E-2</c:v>
                </c:pt>
                <c:pt idx="10">
                  <c:v>8.0476254501378727E-2</c:v>
                </c:pt>
                <c:pt idx="11">
                  <c:v>8.8307625171930831E-2</c:v>
                </c:pt>
                <c:pt idx="12">
                  <c:v>9.5182539811505193E-2</c:v>
                </c:pt>
                <c:pt idx="13">
                  <c:v>0.100847150602296</c:v>
                </c:pt>
                <c:pt idx="14">
                  <c:v>0.10557418012954492</c:v>
                </c:pt>
                <c:pt idx="15">
                  <c:v>0.1092849733404985</c:v>
                </c:pt>
                <c:pt idx="16">
                  <c:v>0.11232156729994124</c:v>
                </c:pt>
                <c:pt idx="17">
                  <c:v>0.11453955058576572</c:v>
                </c:pt>
                <c:pt idx="18">
                  <c:v>0.11598915416803798</c:v>
                </c:pt>
                <c:pt idx="19">
                  <c:v>0.11696164697979854</c:v>
                </c:pt>
                <c:pt idx="20">
                  <c:v>0.11762507867517669</c:v>
                </c:pt>
                <c:pt idx="21">
                  <c:v>0.11798251517099502</c:v>
                </c:pt>
                <c:pt idx="22">
                  <c:v>0.1181377039152235</c:v>
                </c:pt>
                <c:pt idx="23">
                  <c:v>0.11809265122554838</c:v>
                </c:pt>
                <c:pt idx="24">
                  <c:v>0.11788472879488046</c:v>
                </c:pt>
                <c:pt idx="25">
                  <c:v>0.11751555230714866</c:v>
                </c:pt>
                <c:pt idx="26">
                  <c:v>0.11704116030791351</c:v>
                </c:pt>
                <c:pt idx="27">
                  <c:v>0.11646259654544877</c:v>
                </c:pt>
                <c:pt idx="28">
                  <c:v>0.11580811385863009</c:v>
                </c:pt>
                <c:pt idx="29">
                  <c:v>0.11507846537069101</c:v>
                </c:pt>
                <c:pt idx="30">
                  <c:v>0.11428309909931852</c:v>
                </c:pt>
                <c:pt idx="31">
                  <c:v>0.11331531777125513</c:v>
                </c:pt>
                <c:pt idx="32">
                  <c:v>0.11232078326784928</c:v>
                </c:pt>
                <c:pt idx="33">
                  <c:v>0.11129980344944457</c:v>
                </c:pt>
                <c:pt idx="34">
                  <c:v>0.11025268263370268</c:v>
                </c:pt>
                <c:pt idx="35">
                  <c:v>0.10917972163637051</c:v>
                </c:pt>
                <c:pt idx="36">
                  <c:v>0.10808121781157824</c:v>
                </c:pt>
                <c:pt idx="37">
                  <c:v>0.10697767301331543</c:v>
                </c:pt>
                <c:pt idx="38">
                  <c:v>0.10586914525024103</c:v>
                </c:pt>
                <c:pt idx="39">
                  <c:v>0.10475569186348334</c:v>
                </c:pt>
                <c:pt idx="40">
                  <c:v>0.10361396788723021</c:v>
                </c:pt>
                <c:pt idx="41">
                  <c:v>0.10228263602435431</c:v>
                </c:pt>
                <c:pt idx="42">
                  <c:v>0.10096048378884021</c:v>
                </c:pt>
                <c:pt idx="43">
                  <c:v>9.964738593526043E-2</c:v>
                </c:pt>
                <c:pt idx="44">
                  <c:v>9.8343218927016848E-2</c:v>
                </c:pt>
                <c:pt idx="45">
                  <c:v>9.7047860913025766E-2</c:v>
                </c:pt>
                <c:pt idx="46">
                  <c:v>9.5761191704720985E-2</c:v>
                </c:pt>
                <c:pt idx="47">
                  <c:v>9.4484590230093701E-2</c:v>
                </c:pt>
                <c:pt idx="48">
                  <c:v>9.3217919126530102E-2</c:v>
                </c:pt>
                <c:pt idx="49">
                  <c:v>9.1961042905570792E-2</c:v>
                </c:pt>
                <c:pt idx="50">
                  <c:v>9.0439022170831856E-2</c:v>
                </c:pt>
                <c:pt idx="51">
                  <c:v>8.8926603995750406E-2</c:v>
                </c:pt>
                <c:pt idx="52">
                  <c:v>8.7439478096960871E-2</c:v>
                </c:pt>
                <c:pt idx="53">
                  <c:v>8.5977221509934976E-2</c:v>
                </c:pt>
                <c:pt idx="54">
                  <c:v>8.4539418343410166E-2</c:v>
                </c:pt>
                <c:pt idx="55">
                  <c:v>8.3125659661102955E-2</c:v>
                </c:pt>
                <c:pt idx="56">
                  <c:v>8.1735543365400301E-2</c:v>
                </c:pt>
                <c:pt idx="57">
                  <c:v>8.0368674082996014E-2</c:v>
                </c:pt>
                <c:pt idx="58">
                  <c:v>7.9024663052439756E-2</c:v>
                </c:pt>
                <c:pt idx="59">
                  <c:v>7.7514827768394759E-2</c:v>
                </c:pt>
                <c:pt idx="60">
                  <c:v>7.5830569617998389E-2</c:v>
                </c:pt>
                <c:pt idx="61">
                  <c:v>7.4182907375750756E-2</c:v>
                </c:pt>
                <c:pt idx="62">
                  <c:v>7.2571045878218665E-2</c:v>
                </c:pt>
                <c:pt idx="63">
                  <c:v>7.0994207239443857E-2</c:v>
                </c:pt>
                <c:pt idx="64">
                  <c:v>6.9451630475534501E-2</c:v>
                </c:pt>
                <c:pt idx="65">
                  <c:v>6.7942571137413518E-2</c:v>
                </c:pt>
                <c:pt idx="66">
                  <c:v>6.6466300951546806E-2</c:v>
                </c:pt>
                <c:pt idx="67">
                  <c:v>6.5022107468477697E-2</c:v>
                </c:pt>
                <c:pt idx="68">
                  <c:v>6.3609293718998081E-2</c:v>
                </c:pt>
                <c:pt idx="69">
                  <c:v>6.2227177877790453E-2</c:v>
                </c:pt>
                <c:pt idx="70">
                  <c:v>5.9238281143871072E-2</c:v>
                </c:pt>
                <c:pt idx="71">
                  <c:v>5.5697995424723923E-2</c:v>
                </c:pt>
                <c:pt idx="72">
                  <c:v>5.2369289493699872E-2</c:v>
                </c:pt>
                <c:pt idx="73">
                  <c:v>4.9239518606760291E-2</c:v>
                </c:pt>
                <c:pt idx="74">
                  <c:v>4.6296793713750284E-2</c:v>
                </c:pt>
                <c:pt idx="75">
                  <c:v>4.3529936295503779E-2</c:v>
                </c:pt>
                <c:pt idx="76">
                  <c:v>4.0928435900040291E-2</c:v>
                </c:pt>
                <c:pt idx="77">
                  <c:v>3.8482410216546373E-2</c:v>
                </c:pt>
                <c:pt idx="78">
                  <c:v>3.6182567535474636E-2</c:v>
                </c:pt>
                <c:pt idx="79">
                  <c:v>3.4020171452157966E-2</c:v>
                </c:pt>
                <c:pt idx="80">
                  <c:v>3.1987007679858438E-2</c:v>
                </c:pt>
                <c:pt idx="81">
                  <c:v>3.0075352846183886E-2</c:v>
                </c:pt>
                <c:pt idx="82">
                  <c:v>2.8277945154339124E-2</c:v>
                </c:pt>
                <c:pt idx="83">
                  <c:v>2.6587956797762859E-2</c:v>
                </c:pt>
                <c:pt idx="84">
                  <c:v>2.4998968023361861E-2</c:v>
                </c:pt>
                <c:pt idx="85">
                  <c:v>2.3504942744816435E-2</c:v>
                </c:pt>
                <c:pt idx="86">
                  <c:v>2.2100205613319591E-2</c:v>
                </c:pt>
                <c:pt idx="87">
                  <c:v>2.0779420458648605E-2</c:v>
                </c:pt>
                <c:pt idx="88">
                  <c:v>1.9537570018673119E-2</c:v>
                </c:pt>
                <c:pt idx="89">
                  <c:v>1.9035783416868905E-2</c:v>
                </c:pt>
                <c:pt idx="90">
                  <c:v>1.8599618536131929E-2</c:v>
                </c:pt>
                <c:pt idx="91">
                  <c:v>1.8173447454915684E-2</c:v>
                </c:pt>
                <c:pt idx="92">
                  <c:v>1.7757041186354721E-2</c:v>
                </c:pt>
                <c:pt idx="93">
                  <c:v>1.7350175990335278E-2</c:v>
                </c:pt>
                <c:pt idx="94">
                  <c:v>1.6952633253277026E-2</c:v>
                </c:pt>
                <c:pt idx="95">
                  <c:v>1.6564199370669344E-2</c:v>
                </c:pt>
                <c:pt idx="96">
                  <c:v>1.6184665632299047E-2</c:v>
                </c:pt>
                <c:pt idx="97">
                  <c:v>1.5813828110107869E-2</c:v>
                </c:pt>
                <c:pt idx="98">
                  <c:v>1.5451487548619448E-2</c:v>
                </c:pt>
                <c:pt idx="99">
                  <c:v>1.5097449257876958E-2</c:v>
                </c:pt>
                <c:pt idx="100">
                  <c:v>1.4751523008833849E-2</c:v>
                </c:pt>
                <c:pt idx="101">
                  <c:v>1.4413522931141478E-2</c:v>
                </c:pt>
                <c:pt idx="102">
                  <c:v>1.4083267413278738E-2</c:v>
                </c:pt>
                <c:pt idx="103">
                  <c:v>1.3760579004969981E-2</c:v>
                </c:pt>
                <c:pt idx="104">
                  <c:v>1.3445284321838849E-2</c:v>
                </c:pt>
                <c:pt idx="105">
                  <c:v>1.3137213952246769E-2</c:v>
                </c:pt>
                <c:pt idx="106">
                  <c:v>1.2836202366266015E-2</c:v>
                </c:pt>
                <c:pt idx="107">
                  <c:v>1.2542087826738487E-2</c:v>
                </c:pt>
                <c:pt idx="108">
                  <c:v>1.2254712302372392E-2</c:v>
                </c:pt>
                <c:pt idx="109">
                  <c:v>1.1973921382830117E-2</c:v>
                </c:pt>
                <c:pt idx="110">
                  <c:v>1.1699564195761684E-2</c:v>
                </c:pt>
                <c:pt idx="111">
                  <c:v>1.1431493325739232E-2</c:v>
                </c:pt>
                <c:pt idx="112">
                  <c:v>1.1169564735048914E-2</c:v>
                </c:pt>
                <c:pt idx="113">
                  <c:v>1.09136376862977E-2</c:v>
                </c:pt>
                <c:pt idx="114">
                  <c:v>1.0663574666793478E-2</c:v>
                </c:pt>
                <c:pt idx="115">
                  <c:v>1.0419241314657827E-2</c:v>
                </c:pt>
                <c:pt idx="116">
                  <c:v>1.018050634663175E-2</c:v>
                </c:pt>
                <c:pt idx="117">
                  <c:v>9.9472414875356012E-3</c:v>
                </c:pt>
                <c:pt idx="118">
                  <c:v>9.7193214013452899E-3</c:v>
                </c:pt>
                <c:pt idx="119">
                  <c:v>9.4966236238477018E-3</c:v>
                </c:pt>
                <c:pt idx="120">
                  <c:v>9.2790284968392225E-3</c:v>
                </c:pt>
                <c:pt idx="121">
                  <c:v>9.0664191038319249E-3</c:v>
                </c:pt>
                <c:pt idx="122">
                  <c:v>8.8586812072329324E-3</c:v>
                </c:pt>
                <c:pt idx="123">
                  <c:v>8.6557031869631887E-3</c:v>
                </c:pt>
                <c:pt idx="124">
                  <c:v>8.4573759804826339E-3</c:v>
                </c:pt>
                <c:pt idx="125">
                  <c:v>8.2635930241895892E-3</c:v>
                </c:pt>
                <c:pt idx="126">
                  <c:v>8.0742501961628445E-3</c:v>
                </c:pt>
                <c:pt idx="127">
                  <c:v>7.8892457602156955E-3</c:v>
                </c:pt>
                <c:pt idx="128">
                  <c:v>7.7084803112318695E-3</c:v>
                </c:pt>
                <c:pt idx="129">
                  <c:v>7.531856721753943E-3</c:v>
                </c:pt>
                <c:pt idx="130">
                  <c:v>7.3592800897955939E-3</c:v>
                </c:pt>
                <c:pt idx="131">
                  <c:v>7.1906576878496232E-3</c:v>
                </c:pt>
                <c:pt idx="132">
                  <c:v>7.0258989130643386E-3</c:v>
                </c:pt>
                <c:pt idx="133">
                  <c:v>6.8649152385615517E-3</c:v>
                </c:pt>
                <c:pt idx="134">
                  <c:v>6.7076201658700192E-3</c:v>
                </c:pt>
                <c:pt idx="135">
                  <c:v>6.5539291784487688E-3</c:v>
                </c:pt>
                <c:pt idx="136">
                  <c:v>6.4037596962753414E-3</c:v>
                </c:pt>
                <c:pt idx="137">
                  <c:v>6.2570310314745518E-3</c:v>
                </c:pt>
                <c:pt idx="138">
                  <c:v>6.1136643449639129E-3</c:v>
                </c:pt>
                <c:pt idx="139">
                  <c:v>5.9735826040924513E-3</c:v>
                </c:pt>
                <c:pt idx="140">
                  <c:v>5.8367105412501317E-3</c:v>
                </c:pt>
                <c:pt idx="141">
                  <c:v>5.7029746134256614E-3</c:v>
                </c:pt>
                <c:pt idx="142">
                  <c:v>5.5723029626909438E-3</c:v>
                </c:pt>
                <c:pt idx="143">
                  <c:v>5.4446253775909462E-3</c:v>
                </c:pt>
                <c:pt idx="144">
                  <c:v>5.3198732554182362E-3</c:v>
                </c:pt>
                <c:pt idx="145">
                  <c:v>5.1979795653519199E-3</c:v>
                </c:pt>
                <c:pt idx="146">
                  <c:v>5.0788788124411744E-3</c:v>
                </c:pt>
                <c:pt idx="147">
                  <c:v>4.9625070024140183E-3</c:v>
                </c:pt>
                <c:pt idx="148">
                  <c:v>4.8488016072924158E-3</c:v>
                </c:pt>
                <c:pt idx="149">
                  <c:v>4.7377015317952428E-3</c:v>
                </c:pt>
                <c:pt idx="150">
                  <c:v>4.6291470805110537E-3</c:v>
                </c:pt>
                <c:pt idx="151">
                  <c:v>4.5230799258230148E-3</c:v>
                </c:pt>
                <c:pt idx="152">
                  <c:v>4.4194430765687742E-3</c:v>
                </c:pt>
                <c:pt idx="153">
                  <c:v>4.3639431710317386E-3</c:v>
                </c:pt>
                <c:pt idx="154">
                  <c:v>4.3639431710317386E-3</c:v>
                </c:pt>
                <c:pt idx="155">
                  <c:v>4.3639431710317386E-3</c:v>
                </c:pt>
                <c:pt idx="156">
                  <c:v>4.3639431710317386E-3</c:v>
                </c:pt>
                <c:pt idx="157">
                  <c:v>4.3639431710317386E-3</c:v>
                </c:pt>
                <c:pt idx="158">
                  <c:v>4.3639431710317386E-3</c:v>
                </c:pt>
                <c:pt idx="159">
                  <c:v>4.3639431710317386E-3</c:v>
                </c:pt>
                <c:pt idx="160">
                  <c:v>4.3639431710317386E-3</c:v>
                </c:pt>
                <c:pt idx="161">
                  <c:v>4.3639431710317386E-3</c:v>
                </c:pt>
                <c:pt idx="162">
                  <c:v>4.3639431710317386E-3</c:v>
                </c:pt>
                <c:pt idx="163">
                  <c:v>4.3639431710317386E-3</c:v>
                </c:pt>
                <c:pt idx="164">
                  <c:v>4.3639431710317386E-3</c:v>
                </c:pt>
                <c:pt idx="165">
                  <c:v>4.3639431710317386E-3</c:v>
                </c:pt>
                <c:pt idx="166">
                  <c:v>4.3639431710317386E-3</c:v>
                </c:pt>
                <c:pt idx="167">
                  <c:v>4.3639431710317386E-3</c:v>
                </c:pt>
                <c:pt idx="168">
                  <c:v>4.3639431710317386E-3</c:v>
                </c:pt>
                <c:pt idx="169">
                  <c:v>4.3639431710317386E-3</c:v>
                </c:pt>
                <c:pt idx="170">
                  <c:v>4.3639431710317386E-3</c:v>
                </c:pt>
                <c:pt idx="171">
                  <c:v>4.3639431710317386E-3</c:v>
                </c:pt>
                <c:pt idx="172">
                  <c:v>4.3639431710317386E-3</c:v>
                </c:pt>
                <c:pt idx="173">
                  <c:v>4.3639431710317386E-3</c:v>
                </c:pt>
                <c:pt idx="174">
                  <c:v>4.3639431710317386E-3</c:v>
                </c:pt>
                <c:pt idx="175">
                  <c:v>4.3639431710317386E-3</c:v>
                </c:pt>
                <c:pt idx="176">
                  <c:v>4.3639431710317386E-3</c:v>
                </c:pt>
                <c:pt idx="177">
                  <c:v>4.3639431710317386E-3</c:v>
                </c:pt>
                <c:pt idx="178">
                  <c:v>4.3639431710317386E-3</c:v>
                </c:pt>
                <c:pt idx="179">
                  <c:v>4.3639431710317386E-3</c:v>
                </c:pt>
                <c:pt idx="180">
                  <c:v>4.3639431710317386E-3</c:v>
                </c:pt>
                <c:pt idx="181">
                  <c:v>4.3639431710317386E-3</c:v>
                </c:pt>
                <c:pt idx="182">
                  <c:v>4.3639431710317386E-3</c:v>
                </c:pt>
                <c:pt idx="183">
                  <c:v>4.3639431710317386E-3</c:v>
                </c:pt>
                <c:pt idx="184">
                  <c:v>4.3639431710317386E-3</c:v>
                </c:pt>
                <c:pt idx="185">
                  <c:v>4.3639431710317386E-3</c:v>
                </c:pt>
                <c:pt idx="186">
                  <c:v>4.3639431710317386E-3</c:v>
                </c:pt>
                <c:pt idx="187">
                  <c:v>4.3639431710317386E-3</c:v>
                </c:pt>
                <c:pt idx="188">
                  <c:v>4.3639431710317386E-3</c:v>
                </c:pt>
                <c:pt idx="189">
                  <c:v>4.3639431710317386E-3</c:v>
                </c:pt>
                <c:pt idx="190">
                  <c:v>4.3639431710317386E-3</c:v>
                </c:pt>
                <c:pt idx="191">
                  <c:v>4.3639431710317386E-3</c:v>
                </c:pt>
                <c:pt idx="192">
                  <c:v>4.3639431710317386E-3</c:v>
                </c:pt>
                <c:pt idx="193">
                  <c:v>4.3639431710317386E-3</c:v>
                </c:pt>
                <c:pt idx="194">
                  <c:v>4.3639431710317386E-3</c:v>
                </c:pt>
                <c:pt idx="195">
                  <c:v>4.3639431710317386E-3</c:v>
                </c:pt>
                <c:pt idx="196">
                  <c:v>4.3639431710317386E-3</c:v>
                </c:pt>
                <c:pt idx="197">
                  <c:v>4.3639431710317386E-3</c:v>
                </c:pt>
                <c:pt idx="198">
                  <c:v>4.3639431710317386E-3</c:v>
                </c:pt>
                <c:pt idx="199">
                  <c:v>4.3639431710317386E-3</c:v>
                </c:pt>
                <c:pt idx="200">
                  <c:v>4.3639431710317386E-3</c:v>
                </c:pt>
                <c:pt idx="201">
                  <c:v>4.3639431710317386E-3</c:v>
                </c:pt>
                <c:pt idx="202">
                  <c:v>4.3639431710317386E-3</c:v>
                </c:pt>
                <c:pt idx="203">
                  <c:v>4.3639431710317386E-3</c:v>
                </c:pt>
                <c:pt idx="204">
                  <c:v>4.3639431710317386E-3</c:v>
                </c:pt>
                <c:pt idx="205">
                  <c:v>4.3639431710317386E-3</c:v>
                </c:pt>
                <c:pt idx="206">
                  <c:v>4.3639431710317386E-3</c:v>
                </c:pt>
                <c:pt idx="207">
                  <c:v>4.3639431710317386E-3</c:v>
                </c:pt>
                <c:pt idx="208">
                  <c:v>4.3639431710317386E-3</c:v>
                </c:pt>
                <c:pt idx="209">
                  <c:v>4.3639431710317386E-3</c:v>
                </c:pt>
                <c:pt idx="210">
                  <c:v>4.3639431710317386E-3</c:v>
                </c:pt>
                <c:pt idx="211">
                  <c:v>4.3639431710317386E-3</c:v>
                </c:pt>
                <c:pt idx="212">
                  <c:v>4.3639431710317386E-3</c:v>
                </c:pt>
                <c:pt idx="213">
                  <c:v>4.3639431710317386E-3</c:v>
                </c:pt>
                <c:pt idx="214">
                  <c:v>4.3639431710317386E-3</c:v>
                </c:pt>
                <c:pt idx="215">
                  <c:v>4.3639431710317386E-3</c:v>
                </c:pt>
                <c:pt idx="216">
                  <c:v>4.3639431710317386E-3</c:v>
                </c:pt>
                <c:pt idx="217">
                  <c:v>4.3639431710317386E-3</c:v>
                </c:pt>
                <c:pt idx="218">
                  <c:v>4.3639431710317386E-3</c:v>
                </c:pt>
                <c:pt idx="219">
                  <c:v>4.3639431710317386E-3</c:v>
                </c:pt>
                <c:pt idx="220">
                  <c:v>4.3639431710317386E-3</c:v>
                </c:pt>
                <c:pt idx="221">
                  <c:v>4.3639431710317386E-3</c:v>
                </c:pt>
                <c:pt idx="222">
                  <c:v>4.3639431710317386E-3</c:v>
                </c:pt>
                <c:pt idx="223">
                  <c:v>4.3639431710317386E-3</c:v>
                </c:pt>
                <c:pt idx="224">
                  <c:v>4.3639431710317386E-3</c:v>
                </c:pt>
                <c:pt idx="225">
                  <c:v>4.3639431710317386E-3</c:v>
                </c:pt>
                <c:pt idx="226">
                  <c:v>4.3639431710317386E-3</c:v>
                </c:pt>
                <c:pt idx="227">
                  <c:v>4.3639431710317386E-3</c:v>
                </c:pt>
                <c:pt idx="228">
                  <c:v>4.3639431710317386E-3</c:v>
                </c:pt>
                <c:pt idx="229">
                  <c:v>4.3639431710317386E-3</c:v>
                </c:pt>
                <c:pt idx="230">
                  <c:v>4.3639431710317386E-3</c:v>
                </c:pt>
                <c:pt idx="231">
                  <c:v>4.3639431710317386E-3</c:v>
                </c:pt>
                <c:pt idx="232">
                  <c:v>4.3639431710317386E-3</c:v>
                </c:pt>
                <c:pt idx="233">
                  <c:v>4.3639431710317386E-3</c:v>
                </c:pt>
                <c:pt idx="234">
                  <c:v>4.3639431710317386E-3</c:v>
                </c:pt>
                <c:pt idx="235">
                  <c:v>4.3639431710317386E-3</c:v>
                </c:pt>
                <c:pt idx="236">
                  <c:v>4.3639431710317386E-3</c:v>
                </c:pt>
                <c:pt idx="237">
                  <c:v>4.3639431710317386E-3</c:v>
                </c:pt>
                <c:pt idx="238">
                  <c:v>4.3639431710317386E-3</c:v>
                </c:pt>
                <c:pt idx="239">
                  <c:v>4.3639431710317386E-3</c:v>
                </c:pt>
                <c:pt idx="240">
                  <c:v>4.3639431710317386E-3</c:v>
                </c:pt>
                <c:pt idx="241">
                  <c:v>4.3639431710317386E-3</c:v>
                </c:pt>
                <c:pt idx="242">
                  <c:v>4.3639431710317386E-3</c:v>
                </c:pt>
                <c:pt idx="243">
                  <c:v>4.3639431710317386E-3</c:v>
                </c:pt>
                <c:pt idx="244">
                  <c:v>4.3639431710317386E-3</c:v>
                </c:pt>
                <c:pt idx="245">
                  <c:v>4.3639431710317386E-3</c:v>
                </c:pt>
                <c:pt idx="246">
                  <c:v>4.3639431710317386E-3</c:v>
                </c:pt>
                <c:pt idx="247">
                  <c:v>4.3639431710317386E-3</c:v>
                </c:pt>
                <c:pt idx="248">
                  <c:v>4.3639431710317386E-3</c:v>
                </c:pt>
                <c:pt idx="249">
                  <c:v>4.3639431710317386E-3</c:v>
                </c:pt>
                <c:pt idx="250">
                  <c:v>4.3639431710317386E-3</c:v>
                </c:pt>
                <c:pt idx="251">
                  <c:v>4.3639431710317386E-3</c:v>
                </c:pt>
                <c:pt idx="252">
                  <c:v>4.3639431710317386E-3</c:v>
                </c:pt>
                <c:pt idx="253">
                  <c:v>4.3639431710317386E-3</c:v>
                </c:pt>
                <c:pt idx="254">
                  <c:v>4.3639431710317386E-3</c:v>
                </c:pt>
                <c:pt idx="255">
                  <c:v>4.3639431710317386E-3</c:v>
                </c:pt>
                <c:pt idx="256">
                  <c:v>4.3639431710317386E-3</c:v>
                </c:pt>
                <c:pt idx="257">
                  <c:v>4.3639431710317386E-3</c:v>
                </c:pt>
                <c:pt idx="258">
                  <c:v>4.3639431710317386E-3</c:v>
                </c:pt>
                <c:pt idx="259">
                  <c:v>4.3639431710317386E-3</c:v>
                </c:pt>
                <c:pt idx="260">
                  <c:v>4.3639431710317386E-3</c:v>
                </c:pt>
                <c:pt idx="261">
                  <c:v>4.3639431710317386E-3</c:v>
                </c:pt>
                <c:pt idx="262">
                  <c:v>4.3639431710317386E-3</c:v>
                </c:pt>
                <c:pt idx="263">
                  <c:v>4.3639431710317386E-3</c:v>
                </c:pt>
                <c:pt idx="264">
                  <c:v>4.3639431710317386E-3</c:v>
                </c:pt>
                <c:pt idx="265">
                  <c:v>4.3639431710317386E-3</c:v>
                </c:pt>
                <c:pt idx="266">
                  <c:v>4.3639431710317386E-3</c:v>
                </c:pt>
                <c:pt idx="267">
                  <c:v>4.3639431710317386E-3</c:v>
                </c:pt>
                <c:pt idx="268">
                  <c:v>4.3639431710317386E-3</c:v>
                </c:pt>
                <c:pt idx="269">
                  <c:v>4.3639431710317386E-3</c:v>
                </c:pt>
                <c:pt idx="270">
                  <c:v>4.3639431710317386E-3</c:v>
                </c:pt>
                <c:pt idx="271">
                  <c:v>4.3639431710317386E-3</c:v>
                </c:pt>
                <c:pt idx="272">
                  <c:v>4.3639431710317386E-3</c:v>
                </c:pt>
                <c:pt idx="273">
                  <c:v>4.3639431710317386E-3</c:v>
                </c:pt>
                <c:pt idx="274">
                  <c:v>4.3639431710317386E-3</c:v>
                </c:pt>
                <c:pt idx="275">
                  <c:v>4.3639431710317386E-3</c:v>
                </c:pt>
                <c:pt idx="276">
                  <c:v>4.3639431710317386E-3</c:v>
                </c:pt>
                <c:pt idx="277">
                  <c:v>4.3639431710317386E-3</c:v>
                </c:pt>
                <c:pt idx="278">
                  <c:v>4.3639431710317386E-3</c:v>
                </c:pt>
                <c:pt idx="279">
                  <c:v>4.3639431710317386E-3</c:v>
                </c:pt>
                <c:pt idx="280">
                  <c:v>4.3639431710317386E-3</c:v>
                </c:pt>
                <c:pt idx="281">
                  <c:v>4.3639431710317386E-3</c:v>
                </c:pt>
                <c:pt idx="282">
                  <c:v>4.3639431710317386E-3</c:v>
                </c:pt>
                <c:pt idx="283">
                  <c:v>4.3639431710317386E-3</c:v>
                </c:pt>
                <c:pt idx="284">
                  <c:v>4.3639431710317386E-3</c:v>
                </c:pt>
                <c:pt idx="285">
                  <c:v>4.3639431710317386E-3</c:v>
                </c:pt>
                <c:pt idx="286">
                  <c:v>4.3639431710317386E-3</c:v>
                </c:pt>
                <c:pt idx="287">
                  <c:v>4.3639431710317386E-3</c:v>
                </c:pt>
                <c:pt idx="288">
                  <c:v>4.3639431710317386E-3</c:v>
                </c:pt>
                <c:pt idx="289">
                  <c:v>4.3639431710317386E-3</c:v>
                </c:pt>
                <c:pt idx="290">
                  <c:v>4.3639431710317386E-3</c:v>
                </c:pt>
                <c:pt idx="291">
                  <c:v>4.3639431710317386E-3</c:v>
                </c:pt>
                <c:pt idx="292">
                  <c:v>4.3639431710317386E-3</c:v>
                </c:pt>
                <c:pt idx="293">
                  <c:v>4.3639431710317386E-3</c:v>
                </c:pt>
                <c:pt idx="294">
                  <c:v>4.3639431710317386E-3</c:v>
                </c:pt>
                <c:pt idx="295">
                  <c:v>4.3639431710317386E-3</c:v>
                </c:pt>
                <c:pt idx="296">
                  <c:v>4.3639431710317386E-3</c:v>
                </c:pt>
                <c:pt idx="297">
                  <c:v>4.3639431710317386E-3</c:v>
                </c:pt>
                <c:pt idx="298">
                  <c:v>4.3639431710317386E-3</c:v>
                </c:pt>
                <c:pt idx="299">
                  <c:v>4.3639431710317386E-3</c:v>
                </c:pt>
                <c:pt idx="300">
                  <c:v>4.3639431710317386E-3</c:v>
                </c:pt>
                <c:pt idx="301">
                  <c:v>4.3639431710317386E-3</c:v>
                </c:pt>
                <c:pt idx="302">
                  <c:v>4.3639431710317386E-3</c:v>
                </c:pt>
                <c:pt idx="303">
                  <c:v>4.3639431710317386E-3</c:v>
                </c:pt>
                <c:pt idx="304">
                  <c:v>4.3639431710317386E-3</c:v>
                </c:pt>
                <c:pt idx="305">
                  <c:v>4.3639431710317386E-3</c:v>
                </c:pt>
                <c:pt idx="306">
                  <c:v>4.3639431710317386E-3</c:v>
                </c:pt>
                <c:pt idx="307">
                  <c:v>4.3639431710317386E-3</c:v>
                </c:pt>
                <c:pt idx="308">
                  <c:v>4.3639431710317386E-3</c:v>
                </c:pt>
                <c:pt idx="309">
                  <c:v>4.3639431710317386E-3</c:v>
                </c:pt>
                <c:pt idx="310">
                  <c:v>4.3639431710317386E-3</c:v>
                </c:pt>
                <c:pt idx="311">
                  <c:v>4.3639431710317386E-3</c:v>
                </c:pt>
                <c:pt idx="312">
                  <c:v>4.3639431710317386E-3</c:v>
                </c:pt>
                <c:pt idx="313">
                  <c:v>4.3639431710317386E-3</c:v>
                </c:pt>
                <c:pt idx="314">
                  <c:v>4.3639431710317386E-3</c:v>
                </c:pt>
                <c:pt idx="315">
                  <c:v>4.3639431710317386E-3</c:v>
                </c:pt>
                <c:pt idx="316">
                  <c:v>4.3639431710317386E-3</c:v>
                </c:pt>
                <c:pt idx="317">
                  <c:v>4.3639431710317386E-3</c:v>
                </c:pt>
                <c:pt idx="318">
                  <c:v>4.3639431710317386E-3</c:v>
                </c:pt>
                <c:pt idx="319">
                  <c:v>4.3639431710317386E-3</c:v>
                </c:pt>
                <c:pt idx="320">
                  <c:v>4.3639431710317386E-3</c:v>
                </c:pt>
                <c:pt idx="321">
                  <c:v>4.3639431710317386E-3</c:v>
                </c:pt>
                <c:pt idx="322">
                  <c:v>4.3639431710317386E-3</c:v>
                </c:pt>
                <c:pt idx="323">
                  <c:v>4.3639431710317386E-3</c:v>
                </c:pt>
                <c:pt idx="324">
                  <c:v>4.3639431710317386E-3</c:v>
                </c:pt>
                <c:pt idx="325">
                  <c:v>4.3639431710317386E-3</c:v>
                </c:pt>
                <c:pt idx="326">
                  <c:v>4.3639431710317386E-3</c:v>
                </c:pt>
                <c:pt idx="327">
                  <c:v>4.3639431710317386E-3</c:v>
                </c:pt>
                <c:pt idx="328">
                  <c:v>4.3639431710317386E-3</c:v>
                </c:pt>
                <c:pt idx="329">
                  <c:v>4.3639431710317386E-3</c:v>
                </c:pt>
                <c:pt idx="330">
                  <c:v>4.3639431710317386E-3</c:v>
                </c:pt>
                <c:pt idx="331">
                  <c:v>4.3639431710317386E-3</c:v>
                </c:pt>
                <c:pt idx="332">
                  <c:v>4.3639431710317386E-3</c:v>
                </c:pt>
                <c:pt idx="333">
                  <c:v>4.3639431710317386E-3</c:v>
                </c:pt>
                <c:pt idx="334">
                  <c:v>4.3639431710317386E-3</c:v>
                </c:pt>
                <c:pt idx="335">
                  <c:v>4.3639431710317386E-3</c:v>
                </c:pt>
                <c:pt idx="336">
                  <c:v>4.3639431710317386E-3</c:v>
                </c:pt>
                <c:pt idx="337">
                  <c:v>4.3639431710317386E-3</c:v>
                </c:pt>
                <c:pt idx="338">
                  <c:v>4.3639431710317386E-3</c:v>
                </c:pt>
                <c:pt idx="339">
                  <c:v>4.3639431710317386E-3</c:v>
                </c:pt>
                <c:pt idx="340">
                  <c:v>4.3639431710317386E-3</c:v>
                </c:pt>
                <c:pt idx="341">
                  <c:v>4.3639431710317386E-3</c:v>
                </c:pt>
                <c:pt idx="342">
                  <c:v>4.3639431710317386E-3</c:v>
                </c:pt>
                <c:pt idx="343">
                  <c:v>4.3639431710317386E-3</c:v>
                </c:pt>
                <c:pt idx="344">
                  <c:v>4.3639431710317386E-3</c:v>
                </c:pt>
                <c:pt idx="345">
                  <c:v>4.3639431710317386E-3</c:v>
                </c:pt>
                <c:pt idx="346">
                  <c:v>4.3639431710317386E-3</c:v>
                </c:pt>
                <c:pt idx="347">
                  <c:v>4.3639431710317386E-3</c:v>
                </c:pt>
                <c:pt idx="348">
                  <c:v>4.3639431710317386E-3</c:v>
                </c:pt>
                <c:pt idx="349">
                  <c:v>4.3639431710317386E-3</c:v>
                </c:pt>
                <c:pt idx="350">
                  <c:v>4.3639431710317386E-3</c:v>
                </c:pt>
                <c:pt idx="351">
                  <c:v>4.3639431710317386E-3</c:v>
                </c:pt>
                <c:pt idx="352">
                  <c:v>4.3639431710317386E-3</c:v>
                </c:pt>
                <c:pt idx="353">
                  <c:v>4.3639431710317386E-3</c:v>
                </c:pt>
                <c:pt idx="354">
                  <c:v>4.3639431710317386E-3</c:v>
                </c:pt>
                <c:pt idx="355">
                  <c:v>4.3639431710317386E-3</c:v>
                </c:pt>
                <c:pt idx="356">
                  <c:v>4.3639431710317386E-3</c:v>
                </c:pt>
                <c:pt idx="357">
                  <c:v>4.3639431710317386E-3</c:v>
                </c:pt>
                <c:pt idx="358">
                  <c:v>4.3639431710317386E-3</c:v>
                </c:pt>
                <c:pt idx="359">
                  <c:v>4.3639431710317386E-3</c:v>
                </c:pt>
                <c:pt idx="360">
                  <c:v>4.3639431710317386E-3</c:v>
                </c:pt>
                <c:pt idx="361">
                  <c:v>4.3639431710317386E-3</c:v>
                </c:pt>
                <c:pt idx="362">
                  <c:v>4.3639431710317386E-3</c:v>
                </c:pt>
                <c:pt idx="363">
                  <c:v>4.3639431710317386E-3</c:v>
                </c:pt>
                <c:pt idx="364">
                  <c:v>4.3639431710317386E-3</c:v>
                </c:pt>
                <c:pt idx="365">
                  <c:v>4.3639431710317386E-3</c:v>
                </c:pt>
                <c:pt idx="366">
                  <c:v>4.3639431710317386E-3</c:v>
                </c:pt>
                <c:pt idx="367">
                  <c:v>4.3639431710317386E-3</c:v>
                </c:pt>
                <c:pt idx="368">
                  <c:v>4.3639431710317386E-3</c:v>
                </c:pt>
                <c:pt idx="369">
                  <c:v>4.3639431710317386E-3</c:v>
                </c:pt>
                <c:pt idx="370">
                  <c:v>4.3639431710317386E-3</c:v>
                </c:pt>
                <c:pt idx="371">
                  <c:v>4.3639431710317386E-3</c:v>
                </c:pt>
                <c:pt idx="372">
                  <c:v>4.3639431710317386E-3</c:v>
                </c:pt>
                <c:pt idx="373">
                  <c:v>4.3639431710317386E-3</c:v>
                </c:pt>
                <c:pt idx="374">
                  <c:v>4.3639431710317386E-3</c:v>
                </c:pt>
                <c:pt idx="375">
                  <c:v>4.3639431710317386E-3</c:v>
                </c:pt>
                <c:pt idx="376">
                  <c:v>4.3639431710317386E-3</c:v>
                </c:pt>
                <c:pt idx="377">
                  <c:v>4.3639431710317386E-3</c:v>
                </c:pt>
                <c:pt idx="378">
                  <c:v>4.3639431710317386E-3</c:v>
                </c:pt>
                <c:pt idx="379">
                  <c:v>4.3639431710317386E-3</c:v>
                </c:pt>
                <c:pt idx="380">
                  <c:v>4.3639431710317386E-3</c:v>
                </c:pt>
                <c:pt idx="381">
                  <c:v>4.3639431710317386E-3</c:v>
                </c:pt>
                <c:pt idx="382">
                  <c:v>4.3639431710317386E-3</c:v>
                </c:pt>
                <c:pt idx="383">
                  <c:v>4.3639431710317386E-3</c:v>
                </c:pt>
                <c:pt idx="384">
                  <c:v>4.3639431710317386E-3</c:v>
                </c:pt>
                <c:pt idx="385">
                  <c:v>4.3639431710317386E-3</c:v>
                </c:pt>
                <c:pt idx="386">
                  <c:v>4.3639431710317386E-3</c:v>
                </c:pt>
                <c:pt idx="387">
                  <c:v>4.3639431710317386E-3</c:v>
                </c:pt>
                <c:pt idx="388">
                  <c:v>4.3639431710317386E-3</c:v>
                </c:pt>
                <c:pt idx="389">
                  <c:v>4.3639431710317386E-3</c:v>
                </c:pt>
                <c:pt idx="390">
                  <c:v>4.3639431710317386E-3</c:v>
                </c:pt>
                <c:pt idx="391">
                  <c:v>4.3639431710317386E-3</c:v>
                </c:pt>
                <c:pt idx="392">
                  <c:v>4.3639431710317386E-3</c:v>
                </c:pt>
                <c:pt idx="393">
                  <c:v>4.3639431710317386E-3</c:v>
                </c:pt>
                <c:pt idx="394">
                  <c:v>4.3639431710317386E-3</c:v>
                </c:pt>
                <c:pt idx="395">
                  <c:v>4.3639431710317386E-3</c:v>
                </c:pt>
                <c:pt idx="396">
                  <c:v>4.3639431710317386E-3</c:v>
                </c:pt>
                <c:pt idx="397">
                  <c:v>4.3639431710317386E-3</c:v>
                </c:pt>
                <c:pt idx="398">
                  <c:v>4.3639431710317386E-3</c:v>
                </c:pt>
                <c:pt idx="399">
                  <c:v>4.3639431710317386E-3</c:v>
                </c:pt>
                <c:pt idx="400">
                  <c:v>4.3639431710317386E-3</c:v>
                </c:pt>
                <c:pt idx="401">
                  <c:v>4.3639431710317386E-3</c:v>
                </c:pt>
                <c:pt idx="402">
                  <c:v>4.3639431710317386E-3</c:v>
                </c:pt>
                <c:pt idx="403">
                  <c:v>4.3639431710317386E-3</c:v>
                </c:pt>
                <c:pt idx="404">
                  <c:v>4.3639431710317386E-3</c:v>
                </c:pt>
                <c:pt idx="405">
                  <c:v>4.3639431710317386E-3</c:v>
                </c:pt>
                <c:pt idx="406">
                  <c:v>4.3639431710317386E-3</c:v>
                </c:pt>
                <c:pt idx="407">
                  <c:v>4.3639431710317386E-3</c:v>
                </c:pt>
                <c:pt idx="408">
                  <c:v>4.3639431710317386E-3</c:v>
                </c:pt>
                <c:pt idx="409">
                  <c:v>4.3639431710317386E-3</c:v>
                </c:pt>
                <c:pt idx="410">
                  <c:v>4.3639431710317386E-3</c:v>
                </c:pt>
                <c:pt idx="411">
                  <c:v>4.3639431710317386E-3</c:v>
                </c:pt>
                <c:pt idx="412">
                  <c:v>4.3639431710317386E-3</c:v>
                </c:pt>
                <c:pt idx="413">
                  <c:v>4.3639431710317386E-3</c:v>
                </c:pt>
                <c:pt idx="414">
                  <c:v>4.3639431710317386E-3</c:v>
                </c:pt>
                <c:pt idx="415">
                  <c:v>4.3639431710317386E-3</c:v>
                </c:pt>
                <c:pt idx="416">
                  <c:v>4.3639431710317386E-3</c:v>
                </c:pt>
                <c:pt idx="417">
                  <c:v>4.3639431710317386E-3</c:v>
                </c:pt>
                <c:pt idx="418">
                  <c:v>4.3639431710317386E-3</c:v>
                </c:pt>
                <c:pt idx="419">
                  <c:v>4.3639431710317386E-3</c:v>
                </c:pt>
                <c:pt idx="420">
                  <c:v>4.3639431710317386E-3</c:v>
                </c:pt>
                <c:pt idx="421">
                  <c:v>4.3639431710317386E-3</c:v>
                </c:pt>
                <c:pt idx="422">
                  <c:v>4.3639431710317386E-3</c:v>
                </c:pt>
                <c:pt idx="423">
                  <c:v>4.3639431710317386E-3</c:v>
                </c:pt>
                <c:pt idx="424">
                  <c:v>4.3639431710317386E-3</c:v>
                </c:pt>
                <c:pt idx="425">
                  <c:v>4.3639431710317386E-3</c:v>
                </c:pt>
                <c:pt idx="426">
                  <c:v>4.3639431710317386E-3</c:v>
                </c:pt>
                <c:pt idx="427">
                  <c:v>4.3639431710317386E-3</c:v>
                </c:pt>
                <c:pt idx="428">
                  <c:v>4.3639431710317386E-3</c:v>
                </c:pt>
                <c:pt idx="429">
                  <c:v>4.3639431710317386E-3</c:v>
                </c:pt>
                <c:pt idx="430">
                  <c:v>4.3639431710317386E-3</c:v>
                </c:pt>
                <c:pt idx="431">
                  <c:v>4.3639431710317386E-3</c:v>
                </c:pt>
                <c:pt idx="432">
                  <c:v>4.3639431710317386E-3</c:v>
                </c:pt>
                <c:pt idx="433">
                  <c:v>4.3639431710317386E-3</c:v>
                </c:pt>
                <c:pt idx="434">
                  <c:v>4.3639431710317386E-3</c:v>
                </c:pt>
                <c:pt idx="435">
                  <c:v>4.3639431710317386E-3</c:v>
                </c:pt>
                <c:pt idx="436">
                  <c:v>4.3639431710317386E-3</c:v>
                </c:pt>
                <c:pt idx="437">
                  <c:v>4.3639431710317386E-3</c:v>
                </c:pt>
                <c:pt idx="438">
                  <c:v>4.3639431710317386E-3</c:v>
                </c:pt>
                <c:pt idx="439">
                  <c:v>4.3639431710317386E-3</c:v>
                </c:pt>
                <c:pt idx="440">
                  <c:v>4.3639431710317386E-3</c:v>
                </c:pt>
                <c:pt idx="441">
                  <c:v>4.3639431710317386E-3</c:v>
                </c:pt>
                <c:pt idx="442">
                  <c:v>4.3639431710317386E-3</c:v>
                </c:pt>
                <c:pt idx="443">
                  <c:v>4.3639431710317386E-3</c:v>
                </c:pt>
                <c:pt idx="444">
                  <c:v>4.3639431710317386E-3</c:v>
                </c:pt>
                <c:pt idx="445">
                  <c:v>4.3639431710317386E-3</c:v>
                </c:pt>
                <c:pt idx="446">
                  <c:v>4.3639431710317386E-3</c:v>
                </c:pt>
                <c:pt idx="447">
                  <c:v>4.3639431710317386E-3</c:v>
                </c:pt>
                <c:pt idx="448">
                  <c:v>4.3639431710317386E-3</c:v>
                </c:pt>
                <c:pt idx="449">
                  <c:v>4.3639431710317386E-3</c:v>
                </c:pt>
                <c:pt idx="450">
                  <c:v>4.3639431710317386E-3</c:v>
                </c:pt>
                <c:pt idx="451">
                  <c:v>4.3639431710317386E-3</c:v>
                </c:pt>
                <c:pt idx="452">
                  <c:v>4.3639431710317386E-3</c:v>
                </c:pt>
                <c:pt idx="453">
                  <c:v>4.3639431710317386E-3</c:v>
                </c:pt>
                <c:pt idx="454">
                  <c:v>4.3639431710317386E-3</c:v>
                </c:pt>
                <c:pt idx="455">
                  <c:v>4.3639431710317386E-3</c:v>
                </c:pt>
                <c:pt idx="456">
                  <c:v>4.3639431710317386E-3</c:v>
                </c:pt>
                <c:pt idx="457">
                  <c:v>4.3639431710317386E-3</c:v>
                </c:pt>
                <c:pt idx="458">
                  <c:v>4.3639431710317386E-3</c:v>
                </c:pt>
                <c:pt idx="459">
                  <c:v>4.3639431710317386E-3</c:v>
                </c:pt>
                <c:pt idx="460">
                  <c:v>4.3639431710317386E-3</c:v>
                </c:pt>
                <c:pt idx="461">
                  <c:v>4.3639431710317386E-3</c:v>
                </c:pt>
                <c:pt idx="462">
                  <c:v>4.3639431710317386E-3</c:v>
                </c:pt>
                <c:pt idx="463">
                  <c:v>4.3639431710317386E-3</c:v>
                </c:pt>
                <c:pt idx="464">
                  <c:v>4.3639431710317386E-3</c:v>
                </c:pt>
                <c:pt idx="465">
                  <c:v>4.3639431710317386E-3</c:v>
                </c:pt>
                <c:pt idx="466">
                  <c:v>4.3639431710317386E-3</c:v>
                </c:pt>
                <c:pt idx="467">
                  <c:v>4.3639431710317386E-3</c:v>
                </c:pt>
                <c:pt idx="468">
                  <c:v>4.3639431710317386E-3</c:v>
                </c:pt>
                <c:pt idx="469">
                  <c:v>4.3639431710317386E-3</c:v>
                </c:pt>
                <c:pt idx="470">
                  <c:v>4.3639431710317386E-3</c:v>
                </c:pt>
                <c:pt idx="471">
                  <c:v>4.3639431710317386E-3</c:v>
                </c:pt>
                <c:pt idx="472">
                  <c:v>4.3639431710317386E-3</c:v>
                </c:pt>
                <c:pt idx="473">
                  <c:v>4.3639431710317386E-3</c:v>
                </c:pt>
                <c:pt idx="474">
                  <c:v>4.3639431710317386E-3</c:v>
                </c:pt>
                <c:pt idx="475">
                  <c:v>4.3639431710317386E-3</c:v>
                </c:pt>
                <c:pt idx="476">
                  <c:v>4.3639431710317386E-3</c:v>
                </c:pt>
                <c:pt idx="477">
                  <c:v>4.3639431710317386E-3</c:v>
                </c:pt>
                <c:pt idx="478">
                  <c:v>4.3639431710317386E-3</c:v>
                </c:pt>
                <c:pt idx="479">
                  <c:v>4.3639431710317386E-3</c:v>
                </c:pt>
                <c:pt idx="480">
                  <c:v>4.3639431710317386E-3</c:v>
                </c:pt>
                <c:pt idx="481">
                  <c:v>4.3639431710317386E-3</c:v>
                </c:pt>
                <c:pt idx="482">
                  <c:v>4.3639431710317386E-3</c:v>
                </c:pt>
                <c:pt idx="483">
                  <c:v>4.3639431710317386E-3</c:v>
                </c:pt>
                <c:pt idx="484">
                  <c:v>4.3639431710317386E-3</c:v>
                </c:pt>
                <c:pt idx="485">
                  <c:v>4.3639431710317386E-3</c:v>
                </c:pt>
                <c:pt idx="486">
                  <c:v>4.3639431710317386E-3</c:v>
                </c:pt>
                <c:pt idx="487">
                  <c:v>4.3639431710317386E-3</c:v>
                </c:pt>
                <c:pt idx="488">
                  <c:v>4.3639431710317386E-3</c:v>
                </c:pt>
                <c:pt idx="489">
                  <c:v>4.3639431710317386E-3</c:v>
                </c:pt>
                <c:pt idx="490">
                  <c:v>4.3639431710317386E-3</c:v>
                </c:pt>
                <c:pt idx="491">
                  <c:v>4.3639431710317386E-3</c:v>
                </c:pt>
                <c:pt idx="492">
                  <c:v>4.3639431710317386E-3</c:v>
                </c:pt>
                <c:pt idx="493">
                  <c:v>4.3639431710317386E-3</c:v>
                </c:pt>
                <c:pt idx="494">
                  <c:v>4.3639431710317386E-3</c:v>
                </c:pt>
                <c:pt idx="495">
                  <c:v>4.3639431710317386E-3</c:v>
                </c:pt>
                <c:pt idx="496">
                  <c:v>4.3639431710317386E-3</c:v>
                </c:pt>
                <c:pt idx="497">
                  <c:v>4.3639431710317386E-3</c:v>
                </c:pt>
                <c:pt idx="498">
                  <c:v>4.3639431710317386E-3</c:v>
                </c:pt>
                <c:pt idx="499">
                  <c:v>4.3639431710317386E-3</c:v>
                </c:pt>
                <c:pt idx="500">
                  <c:v>4.3639431710317386E-3</c:v>
                </c:pt>
                <c:pt idx="501">
                  <c:v>4.3639431710317386E-3</c:v>
                </c:pt>
                <c:pt idx="502">
                  <c:v>4.3639431710317386E-3</c:v>
                </c:pt>
                <c:pt idx="503">
                  <c:v>4.3639431710317386E-3</c:v>
                </c:pt>
                <c:pt idx="504">
                  <c:v>4.3639431710317386E-3</c:v>
                </c:pt>
                <c:pt idx="505">
                  <c:v>4.3639431710317386E-3</c:v>
                </c:pt>
                <c:pt idx="506">
                  <c:v>4.3639431710317386E-3</c:v>
                </c:pt>
                <c:pt idx="507">
                  <c:v>4.3639431710317386E-3</c:v>
                </c:pt>
                <c:pt idx="508">
                  <c:v>4.3639431710317386E-3</c:v>
                </c:pt>
                <c:pt idx="509">
                  <c:v>4.3639431710317386E-3</c:v>
                </c:pt>
                <c:pt idx="510">
                  <c:v>4.3639431710317386E-3</c:v>
                </c:pt>
                <c:pt idx="511">
                  <c:v>4.3639431710317386E-3</c:v>
                </c:pt>
                <c:pt idx="512">
                  <c:v>4.3639431710317386E-3</c:v>
                </c:pt>
                <c:pt idx="513">
                  <c:v>4.3639431710317386E-3</c:v>
                </c:pt>
                <c:pt idx="514">
                  <c:v>4.3639431710317386E-3</c:v>
                </c:pt>
                <c:pt idx="515">
                  <c:v>4.3639431710317386E-3</c:v>
                </c:pt>
                <c:pt idx="516">
                  <c:v>4.3639431710317386E-3</c:v>
                </c:pt>
                <c:pt idx="517">
                  <c:v>4.3639431710317386E-3</c:v>
                </c:pt>
                <c:pt idx="518">
                  <c:v>4.3639431710317386E-3</c:v>
                </c:pt>
                <c:pt idx="519">
                  <c:v>4.3639431710317386E-3</c:v>
                </c:pt>
                <c:pt idx="520">
                  <c:v>4.3639431710317386E-3</c:v>
                </c:pt>
                <c:pt idx="521">
                  <c:v>4.3639431710317386E-3</c:v>
                </c:pt>
                <c:pt idx="522">
                  <c:v>4.3639431710317386E-3</c:v>
                </c:pt>
                <c:pt idx="523">
                  <c:v>4.3639431710317386E-3</c:v>
                </c:pt>
                <c:pt idx="524">
                  <c:v>4.3639431710317386E-3</c:v>
                </c:pt>
                <c:pt idx="525">
                  <c:v>4.3639431710317386E-3</c:v>
                </c:pt>
                <c:pt idx="526">
                  <c:v>4.3639431710317386E-3</c:v>
                </c:pt>
                <c:pt idx="527">
                  <c:v>4.3639431710317386E-3</c:v>
                </c:pt>
                <c:pt idx="528">
                  <c:v>4.3639431710317386E-3</c:v>
                </c:pt>
                <c:pt idx="529">
                  <c:v>4.3639431710317386E-3</c:v>
                </c:pt>
                <c:pt idx="530">
                  <c:v>4.3639431710317386E-3</c:v>
                </c:pt>
                <c:pt idx="531">
                  <c:v>4.3639431710317386E-3</c:v>
                </c:pt>
                <c:pt idx="532">
                  <c:v>4.3639431710317386E-3</c:v>
                </c:pt>
                <c:pt idx="533">
                  <c:v>4.3639431710317386E-3</c:v>
                </c:pt>
                <c:pt idx="534">
                  <c:v>4.3639431710317386E-3</c:v>
                </c:pt>
                <c:pt idx="535">
                  <c:v>4.3639431710317386E-3</c:v>
                </c:pt>
                <c:pt idx="536">
                  <c:v>4.3639431710317386E-3</c:v>
                </c:pt>
                <c:pt idx="537">
                  <c:v>4.3639431710317386E-3</c:v>
                </c:pt>
                <c:pt idx="538">
                  <c:v>4.3639431710317386E-3</c:v>
                </c:pt>
                <c:pt idx="539">
                  <c:v>4.3639431710317386E-3</c:v>
                </c:pt>
                <c:pt idx="540">
                  <c:v>4.3639431710317386E-3</c:v>
                </c:pt>
                <c:pt idx="541">
                  <c:v>4.3639431710317386E-3</c:v>
                </c:pt>
                <c:pt idx="542">
                  <c:v>4.3639431710317386E-3</c:v>
                </c:pt>
                <c:pt idx="543">
                  <c:v>4.3639431710317386E-3</c:v>
                </c:pt>
                <c:pt idx="544">
                  <c:v>4.3639431710317386E-3</c:v>
                </c:pt>
                <c:pt idx="545">
                  <c:v>4.3639431710317386E-3</c:v>
                </c:pt>
                <c:pt idx="546">
                  <c:v>4.3639431710317386E-3</c:v>
                </c:pt>
                <c:pt idx="547">
                  <c:v>4.3639431710317386E-3</c:v>
                </c:pt>
                <c:pt idx="548">
                  <c:v>4.3639431710317386E-3</c:v>
                </c:pt>
                <c:pt idx="549">
                  <c:v>4.3639431710317386E-3</c:v>
                </c:pt>
                <c:pt idx="550">
                  <c:v>4.3639431710317386E-3</c:v>
                </c:pt>
                <c:pt idx="551">
                  <c:v>4.3639431710317386E-3</c:v>
                </c:pt>
                <c:pt idx="552">
                  <c:v>4.3639431710317386E-3</c:v>
                </c:pt>
                <c:pt idx="553">
                  <c:v>4.3639431710317386E-3</c:v>
                </c:pt>
                <c:pt idx="554">
                  <c:v>4.3639431710317386E-3</c:v>
                </c:pt>
                <c:pt idx="555">
                  <c:v>4.3639431710317386E-3</c:v>
                </c:pt>
                <c:pt idx="556">
                  <c:v>4.3639431710317386E-3</c:v>
                </c:pt>
                <c:pt idx="557">
                  <c:v>4.3639431710317386E-3</c:v>
                </c:pt>
                <c:pt idx="558">
                  <c:v>4.3639431710317386E-3</c:v>
                </c:pt>
                <c:pt idx="559">
                  <c:v>4.3639431710317386E-3</c:v>
                </c:pt>
                <c:pt idx="560">
                  <c:v>4.3639431710317386E-3</c:v>
                </c:pt>
                <c:pt idx="561">
                  <c:v>4.3639431710317386E-3</c:v>
                </c:pt>
                <c:pt idx="562">
                  <c:v>4.3639431710317386E-3</c:v>
                </c:pt>
                <c:pt idx="563">
                  <c:v>4.3639431710317386E-3</c:v>
                </c:pt>
                <c:pt idx="564">
                  <c:v>4.3639431710317386E-3</c:v>
                </c:pt>
                <c:pt idx="565">
                  <c:v>4.3639431710317386E-3</c:v>
                </c:pt>
                <c:pt idx="566">
                  <c:v>4.3639431710317386E-3</c:v>
                </c:pt>
                <c:pt idx="567">
                  <c:v>4.3639431710317386E-3</c:v>
                </c:pt>
                <c:pt idx="568">
                  <c:v>4.3639431710317386E-3</c:v>
                </c:pt>
                <c:pt idx="569">
                  <c:v>4.3639431710317386E-3</c:v>
                </c:pt>
                <c:pt idx="570">
                  <c:v>4.3639431710317386E-3</c:v>
                </c:pt>
                <c:pt idx="571">
                  <c:v>4.3639431710317386E-3</c:v>
                </c:pt>
                <c:pt idx="572">
                  <c:v>4.3639431710317386E-3</c:v>
                </c:pt>
                <c:pt idx="573">
                  <c:v>4.3639431710317386E-3</c:v>
                </c:pt>
                <c:pt idx="574">
                  <c:v>4.3639431710317386E-3</c:v>
                </c:pt>
                <c:pt idx="575">
                  <c:v>4.3639431710317386E-3</c:v>
                </c:pt>
                <c:pt idx="576">
                  <c:v>4.3639431710317386E-3</c:v>
                </c:pt>
                <c:pt idx="577">
                  <c:v>4.3639431710317386E-3</c:v>
                </c:pt>
                <c:pt idx="578">
                  <c:v>4.3639431710317386E-3</c:v>
                </c:pt>
                <c:pt idx="579">
                  <c:v>4.3639431710317386E-3</c:v>
                </c:pt>
                <c:pt idx="580">
                  <c:v>4.3639431710317386E-3</c:v>
                </c:pt>
                <c:pt idx="581">
                  <c:v>4.3639431710317386E-3</c:v>
                </c:pt>
                <c:pt idx="582">
                  <c:v>4.3639431710317386E-3</c:v>
                </c:pt>
                <c:pt idx="583">
                  <c:v>4.3639431710317386E-3</c:v>
                </c:pt>
                <c:pt idx="584">
                  <c:v>4.3639431710317386E-3</c:v>
                </c:pt>
                <c:pt idx="585">
                  <c:v>4.3639431710317386E-3</c:v>
                </c:pt>
                <c:pt idx="586">
                  <c:v>4.3639431710317386E-3</c:v>
                </c:pt>
                <c:pt idx="587">
                  <c:v>4.3639431710317386E-3</c:v>
                </c:pt>
                <c:pt idx="588">
                  <c:v>4.3639431710317386E-3</c:v>
                </c:pt>
                <c:pt idx="589">
                  <c:v>4.3639431710317386E-3</c:v>
                </c:pt>
                <c:pt idx="590">
                  <c:v>4.3639431710317386E-3</c:v>
                </c:pt>
                <c:pt idx="591">
                  <c:v>4.3639431710317386E-3</c:v>
                </c:pt>
                <c:pt idx="592">
                  <c:v>4.3639431710317386E-3</c:v>
                </c:pt>
                <c:pt idx="593">
                  <c:v>4.3639431710317386E-3</c:v>
                </c:pt>
                <c:pt idx="594">
                  <c:v>4.3639431710317386E-3</c:v>
                </c:pt>
                <c:pt idx="595">
                  <c:v>4.3639431710317386E-3</c:v>
                </c:pt>
                <c:pt idx="596">
                  <c:v>4.3639431710317386E-3</c:v>
                </c:pt>
                <c:pt idx="597">
                  <c:v>4.3639431710317386E-3</c:v>
                </c:pt>
                <c:pt idx="598">
                  <c:v>4.3639431710317386E-3</c:v>
                </c:pt>
                <c:pt idx="599">
                  <c:v>4.3639431710317386E-3</c:v>
                </c:pt>
                <c:pt idx="600">
                  <c:v>4.3639431710317386E-3</c:v>
                </c:pt>
                <c:pt idx="601">
                  <c:v>4.3639431710317386E-3</c:v>
                </c:pt>
                <c:pt idx="602">
                  <c:v>4.3639431710317386E-3</c:v>
                </c:pt>
                <c:pt idx="603">
                  <c:v>4.3639431710317386E-3</c:v>
                </c:pt>
                <c:pt idx="604">
                  <c:v>4.3639431710317386E-3</c:v>
                </c:pt>
                <c:pt idx="605">
                  <c:v>4.3639431710317386E-3</c:v>
                </c:pt>
                <c:pt idx="606">
                  <c:v>4.3639431710317386E-3</c:v>
                </c:pt>
                <c:pt idx="607">
                  <c:v>4.3639431710317386E-3</c:v>
                </c:pt>
                <c:pt idx="608">
                  <c:v>4.3639431710317386E-3</c:v>
                </c:pt>
                <c:pt idx="609">
                  <c:v>4.3639431710317386E-3</c:v>
                </c:pt>
                <c:pt idx="610">
                  <c:v>4.3639431710317386E-3</c:v>
                </c:pt>
                <c:pt idx="611">
                  <c:v>4.3639431710317386E-3</c:v>
                </c:pt>
                <c:pt idx="612">
                  <c:v>4.3639431710317386E-3</c:v>
                </c:pt>
                <c:pt idx="613">
                  <c:v>4.3639431710317386E-3</c:v>
                </c:pt>
                <c:pt idx="614">
                  <c:v>4.3639431710317386E-3</c:v>
                </c:pt>
                <c:pt idx="615">
                  <c:v>4.3639431710317386E-3</c:v>
                </c:pt>
                <c:pt idx="616">
                  <c:v>4.3639431710317386E-3</c:v>
                </c:pt>
                <c:pt idx="617">
                  <c:v>4.3639431710317386E-3</c:v>
                </c:pt>
                <c:pt idx="618">
                  <c:v>4.3639431710317386E-3</c:v>
                </c:pt>
                <c:pt idx="619">
                  <c:v>4.3639431710317386E-3</c:v>
                </c:pt>
                <c:pt idx="620">
                  <c:v>4.3639431710317386E-3</c:v>
                </c:pt>
                <c:pt idx="621">
                  <c:v>4.3639431710317386E-3</c:v>
                </c:pt>
                <c:pt idx="622">
                  <c:v>4.3639431710317386E-3</c:v>
                </c:pt>
                <c:pt idx="623">
                  <c:v>4.3639431710317386E-3</c:v>
                </c:pt>
                <c:pt idx="624">
                  <c:v>4.3639431710317386E-3</c:v>
                </c:pt>
                <c:pt idx="625">
                  <c:v>4.3639431710317386E-3</c:v>
                </c:pt>
                <c:pt idx="626">
                  <c:v>4.3639431710317386E-3</c:v>
                </c:pt>
                <c:pt idx="627">
                  <c:v>4.3639431710317386E-3</c:v>
                </c:pt>
                <c:pt idx="628">
                  <c:v>4.3639431710317386E-3</c:v>
                </c:pt>
                <c:pt idx="629">
                  <c:v>4.3639431710317386E-3</c:v>
                </c:pt>
                <c:pt idx="630">
                  <c:v>4.3639431710317386E-3</c:v>
                </c:pt>
                <c:pt idx="631">
                  <c:v>4.3639431710317386E-3</c:v>
                </c:pt>
                <c:pt idx="632">
                  <c:v>4.3639431710317386E-3</c:v>
                </c:pt>
                <c:pt idx="633">
                  <c:v>4.3639431710317386E-3</c:v>
                </c:pt>
                <c:pt idx="634">
                  <c:v>4.3639431710317386E-3</c:v>
                </c:pt>
                <c:pt idx="635">
                  <c:v>4.3639431710317386E-3</c:v>
                </c:pt>
                <c:pt idx="636">
                  <c:v>4.3639431710317386E-3</c:v>
                </c:pt>
                <c:pt idx="637">
                  <c:v>4.3639431710317386E-3</c:v>
                </c:pt>
                <c:pt idx="638">
                  <c:v>4.3639431710317386E-3</c:v>
                </c:pt>
                <c:pt idx="639">
                  <c:v>4.3639431710317386E-3</c:v>
                </c:pt>
                <c:pt idx="640">
                  <c:v>4.3639431710317386E-3</c:v>
                </c:pt>
                <c:pt idx="641">
                  <c:v>4.3639431710317386E-3</c:v>
                </c:pt>
                <c:pt idx="642">
                  <c:v>4.3639431710317386E-3</c:v>
                </c:pt>
                <c:pt idx="643">
                  <c:v>4.3639431710317386E-3</c:v>
                </c:pt>
                <c:pt idx="644">
                  <c:v>4.3639431710317386E-3</c:v>
                </c:pt>
                <c:pt idx="645">
                  <c:v>4.3639431710317386E-3</c:v>
                </c:pt>
                <c:pt idx="646">
                  <c:v>4.3639431710317386E-3</c:v>
                </c:pt>
                <c:pt idx="647">
                  <c:v>4.3639431710317386E-3</c:v>
                </c:pt>
                <c:pt idx="648">
                  <c:v>4.3639431710317386E-3</c:v>
                </c:pt>
                <c:pt idx="649">
                  <c:v>4.3639431710317386E-3</c:v>
                </c:pt>
                <c:pt idx="650">
                  <c:v>4.3639431710317386E-3</c:v>
                </c:pt>
                <c:pt idx="651">
                  <c:v>4.3639431710317386E-3</c:v>
                </c:pt>
                <c:pt idx="652">
                  <c:v>4.3639431710317386E-3</c:v>
                </c:pt>
                <c:pt idx="653">
                  <c:v>4.3639431710317386E-3</c:v>
                </c:pt>
                <c:pt idx="654">
                  <c:v>4.3639431710317386E-3</c:v>
                </c:pt>
                <c:pt idx="655">
                  <c:v>4.3639431710317386E-3</c:v>
                </c:pt>
                <c:pt idx="656">
                  <c:v>4.3639431710317386E-3</c:v>
                </c:pt>
                <c:pt idx="657">
                  <c:v>4.3639431710317386E-3</c:v>
                </c:pt>
                <c:pt idx="658">
                  <c:v>4.3639431710317386E-3</c:v>
                </c:pt>
                <c:pt idx="659">
                  <c:v>4.3639431710317386E-3</c:v>
                </c:pt>
                <c:pt idx="660">
                  <c:v>4.3639431710317386E-3</c:v>
                </c:pt>
                <c:pt idx="661">
                  <c:v>4.3639431710317386E-3</c:v>
                </c:pt>
                <c:pt idx="662">
                  <c:v>4.3639431710317386E-3</c:v>
                </c:pt>
                <c:pt idx="663">
                  <c:v>4.3639431710317386E-3</c:v>
                </c:pt>
                <c:pt idx="664">
                  <c:v>4.3639431710317386E-3</c:v>
                </c:pt>
                <c:pt idx="665">
                  <c:v>4.3639431710317386E-3</c:v>
                </c:pt>
                <c:pt idx="666">
                  <c:v>4.3639431710317386E-3</c:v>
                </c:pt>
                <c:pt idx="667">
                  <c:v>4.3639431710317386E-3</c:v>
                </c:pt>
                <c:pt idx="668">
                  <c:v>4.3639431710317386E-3</c:v>
                </c:pt>
                <c:pt idx="669">
                  <c:v>4.3639431710317386E-3</c:v>
                </c:pt>
                <c:pt idx="670">
                  <c:v>4.3639431710317386E-3</c:v>
                </c:pt>
                <c:pt idx="671">
                  <c:v>4.3639431710317386E-3</c:v>
                </c:pt>
                <c:pt idx="672">
                  <c:v>4.3639431710317386E-3</c:v>
                </c:pt>
                <c:pt idx="673">
                  <c:v>4.3639431710317386E-3</c:v>
                </c:pt>
                <c:pt idx="674">
                  <c:v>4.3639431710317386E-3</c:v>
                </c:pt>
                <c:pt idx="675">
                  <c:v>4.3639431710317386E-3</c:v>
                </c:pt>
                <c:pt idx="676">
                  <c:v>4.3639431710317386E-3</c:v>
                </c:pt>
                <c:pt idx="677">
                  <c:v>4.3639431710317386E-3</c:v>
                </c:pt>
                <c:pt idx="678">
                  <c:v>4.3639431710317386E-3</c:v>
                </c:pt>
                <c:pt idx="679">
                  <c:v>4.3639431710317386E-3</c:v>
                </c:pt>
                <c:pt idx="680">
                  <c:v>4.3639431710317386E-3</c:v>
                </c:pt>
                <c:pt idx="681">
                  <c:v>4.3639431710317386E-3</c:v>
                </c:pt>
                <c:pt idx="682">
                  <c:v>4.3639431710317386E-3</c:v>
                </c:pt>
                <c:pt idx="683">
                  <c:v>4.3639431710317386E-3</c:v>
                </c:pt>
                <c:pt idx="684">
                  <c:v>4.3639431710317386E-3</c:v>
                </c:pt>
                <c:pt idx="685">
                  <c:v>4.3639431710317386E-3</c:v>
                </c:pt>
                <c:pt idx="686">
                  <c:v>4.3639431710317386E-3</c:v>
                </c:pt>
                <c:pt idx="687">
                  <c:v>4.3639431710317386E-3</c:v>
                </c:pt>
                <c:pt idx="688">
                  <c:v>4.3639431710317386E-3</c:v>
                </c:pt>
                <c:pt idx="689">
                  <c:v>4.3639431710317386E-3</c:v>
                </c:pt>
                <c:pt idx="690">
                  <c:v>4.3639431710317386E-3</c:v>
                </c:pt>
                <c:pt idx="691">
                  <c:v>4.3639431710317386E-3</c:v>
                </c:pt>
                <c:pt idx="692">
                  <c:v>4.3639431710317386E-3</c:v>
                </c:pt>
                <c:pt idx="693">
                  <c:v>4.3639431710317386E-3</c:v>
                </c:pt>
                <c:pt idx="694">
                  <c:v>4.3639431710317386E-3</c:v>
                </c:pt>
                <c:pt idx="695">
                  <c:v>4.3639431710317386E-3</c:v>
                </c:pt>
                <c:pt idx="696">
                  <c:v>4.3639431710317386E-3</c:v>
                </c:pt>
                <c:pt idx="697">
                  <c:v>4.3639431710317386E-3</c:v>
                </c:pt>
                <c:pt idx="698">
                  <c:v>4.3639431710317386E-3</c:v>
                </c:pt>
                <c:pt idx="699">
                  <c:v>4.3639431710317386E-3</c:v>
                </c:pt>
                <c:pt idx="700">
                  <c:v>4.3639431710317386E-3</c:v>
                </c:pt>
                <c:pt idx="701">
                  <c:v>4.3639431710317386E-3</c:v>
                </c:pt>
                <c:pt idx="702">
                  <c:v>4.3639431710317386E-3</c:v>
                </c:pt>
                <c:pt idx="703">
                  <c:v>4.3639431710317386E-3</c:v>
                </c:pt>
                <c:pt idx="704">
                  <c:v>4.3639431710317386E-3</c:v>
                </c:pt>
                <c:pt idx="705">
                  <c:v>4.3639431710317386E-3</c:v>
                </c:pt>
                <c:pt idx="706">
                  <c:v>4.3639431710317386E-3</c:v>
                </c:pt>
                <c:pt idx="707">
                  <c:v>4.3639431710317386E-3</c:v>
                </c:pt>
                <c:pt idx="708">
                  <c:v>4.3639431710317386E-3</c:v>
                </c:pt>
                <c:pt idx="709">
                  <c:v>4.3639431710317386E-3</c:v>
                </c:pt>
                <c:pt idx="710">
                  <c:v>4.3639431710317386E-3</c:v>
                </c:pt>
                <c:pt idx="711">
                  <c:v>4.3639431710317386E-3</c:v>
                </c:pt>
                <c:pt idx="712">
                  <c:v>4.3639431710317386E-3</c:v>
                </c:pt>
                <c:pt idx="713">
                  <c:v>4.3639431710317386E-3</c:v>
                </c:pt>
                <c:pt idx="714">
                  <c:v>4.3639431710317386E-3</c:v>
                </c:pt>
                <c:pt idx="715">
                  <c:v>4.3639431710317386E-3</c:v>
                </c:pt>
                <c:pt idx="716">
                  <c:v>4.3639431710317386E-3</c:v>
                </c:pt>
                <c:pt idx="717">
                  <c:v>4.3639431710317386E-3</c:v>
                </c:pt>
                <c:pt idx="718">
                  <c:v>4.3639431710317386E-3</c:v>
                </c:pt>
                <c:pt idx="719">
                  <c:v>4.3639431710317386E-3</c:v>
                </c:pt>
                <c:pt idx="720">
                  <c:v>4.3639431710317386E-3</c:v>
                </c:pt>
                <c:pt idx="721">
                  <c:v>4.3639431710317386E-3</c:v>
                </c:pt>
                <c:pt idx="722">
                  <c:v>4.3639431710317386E-3</c:v>
                </c:pt>
                <c:pt idx="723">
                  <c:v>4.3639431710317386E-3</c:v>
                </c:pt>
                <c:pt idx="724">
                  <c:v>4.3639431710317386E-3</c:v>
                </c:pt>
                <c:pt idx="725">
                  <c:v>4.3639431710317386E-3</c:v>
                </c:pt>
                <c:pt idx="726">
                  <c:v>4.3639431710317386E-3</c:v>
                </c:pt>
                <c:pt idx="727">
                  <c:v>4.3639431710317386E-3</c:v>
                </c:pt>
                <c:pt idx="728">
                  <c:v>4.3639431710317386E-3</c:v>
                </c:pt>
                <c:pt idx="729">
                  <c:v>4.3639431710317386E-3</c:v>
                </c:pt>
                <c:pt idx="730">
                  <c:v>4.3639431710317386E-3</c:v>
                </c:pt>
                <c:pt idx="731">
                  <c:v>4.3639431710317386E-3</c:v>
                </c:pt>
                <c:pt idx="732">
                  <c:v>4.3639431710317386E-3</c:v>
                </c:pt>
                <c:pt idx="733">
                  <c:v>4.3639431710317386E-3</c:v>
                </c:pt>
                <c:pt idx="734">
                  <c:v>4.3639431710317386E-3</c:v>
                </c:pt>
                <c:pt idx="735">
                  <c:v>4.3639431710317386E-3</c:v>
                </c:pt>
                <c:pt idx="736">
                  <c:v>4.3639431710317386E-3</c:v>
                </c:pt>
                <c:pt idx="737">
                  <c:v>4.3639431710317386E-3</c:v>
                </c:pt>
                <c:pt idx="738">
                  <c:v>4.3639431710317386E-3</c:v>
                </c:pt>
                <c:pt idx="739">
                  <c:v>4.3639431710317386E-3</c:v>
                </c:pt>
                <c:pt idx="740">
                  <c:v>4.3639431710317386E-3</c:v>
                </c:pt>
                <c:pt idx="741">
                  <c:v>4.3639431710317386E-3</c:v>
                </c:pt>
                <c:pt idx="742">
                  <c:v>4.3639431710317386E-3</c:v>
                </c:pt>
                <c:pt idx="743">
                  <c:v>4.3639431710317386E-3</c:v>
                </c:pt>
                <c:pt idx="744">
                  <c:v>4.3639431710317386E-3</c:v>
                </c:pt>
                <c:pt idx="745">
                  <c:v>4.3639431710317386E-3</c:v>
                </c:pt>
                <c:pt idx="746">
                  <c:v>4.3639431710317386E-3</c:v>
                </c:pt>
                <c:pt idx="747">
                  <c:v>4.3639431710317386E-3</c:v>
                </c:pt>
                <c:pt idx="748">
                  <c:v>4.3639431710317386E-3</c:v>
                </c:pt>
                <c:pt idx="749">
                  <c:v>4.3639431710317386E-3</c:v>
                </c:pt>
                <c:pt idx="750">
                  <c:v>4.3639431710317386E-3</c:v>
                </c:pt>
                <c:pt idx="751">
                  <c:v>4.3639431710317386E-3</c:v>
                </c:pt>
                <c:pt idx="752">
                  <c:v>4.3639431710317386E-3</c:v>
                </c:pt>
                <c:pt idx="753">
                  <c:v>4.3639431710317386E-3</c:v>
                </c:pt>
                <c:pt idx="754">
                  <c:v>4.3639431710317386E-3</c:v>
                </c:pt>
                <c:pt idx="755">
                  <c:v>4.3639431710317386E-3</c:v>
                </c:pt>
                <c:pt idx="756">
                  <c:v>4.3639431710317386E-3</c:v>
                </c:pt>
                <c:pt idx="757">
                  <c:v>4.3639431710317386E-3</c:v>
                </c:pt>
                <c:pt idx="758">
                  <c:v>4.3639431710317386E-3</c:v>
                </c:pt>
                <c:pt idx="759">
                  <c:v>4.3639431710317386E-3</c:v>
                </c:pt>
                <c:pt idx="760">
                  <c:v>4.3639431710317386E-3</c:v>
                </c:pt>
                <c:pt idx="761">
                  <c:v>4.3639431710317386E-3</c:v>
                </c:pt>
                <c:pt idx="762">
                  <c:v>4.3639431710317386E-3</c:v>
                </c:pt>
                <c:pt idx="763">
                  <c:v>4.3639431710317386E-3</c:v>
                </c:pt>
                <c:pt idx="764">
                  <c:v>4.3639431710317386E-3</c:v>
                </c:pt>
                <c:pt idx="765">
                  <c:v>4.3639431710317386E-3</c:v>
                </c:pt>
                <c:pt idx="766">
                  <c:v>4.3639431710317386E-3</c:v>
                </c:pt>
                <c:pt idx="767">
                  <c:v>4.3639431710317386E-3</c:v>
                </c:pt>
                <c:pt idx="768">
                  <c:v>4.3639431710317386E-3</c:v>
                </c:pt>
                <c:pt idx="769">
                  <c:v>4.3639431710317386E-3</c:v>
                </c:pt>
                <c:pt idx="770">
                  <c:v>4.3639431710317386E-3</c:v>
                </c:pt>
                <c:pt idx="771">
                  <c:v>4.3639431710317386E-3</c:v>
                </c:pt>
                <c:pt idx="772">
                  <c:v>4.3639431710317386E-3</c:v>
                </c:pt>
                <c:pt idx="773">
                  <c:v>4.3639431710317386E-3</c:v>
                </c:pt>
                <c:pt idx="774">
                  <c:v>4.3639431710317386E-3</c:v>
                </c:pt>
                <c:pt idx="775">
                  <c:v>4.3639431710317386E-3</c:v>
                </c:pt>
                <c:pt idx="776">
                  <c:v>4.3639431710317386E-3</c:v>
                </c:pt>
                <c:pt idx="777">
                  <c:v>4.3639431710317386E-3</c:v>
                </c:pt>
                <c:pt idx="778">
                  <c:v>4.3639431710317386E-3</c:v>
                </c:pt>
                <c:pt idx="779">
                  <c:v>4.3639431710317386E-3</c:v>
                </c:pt>
                <c:pt idx="780">
                  <c:v>4.3639431710317386E-3</c:v>
                </c:pt>
                <c:pt idx="781">
                  <c:v>4.3639431710317386E-3</c:v>
                </c:pt>
                <c:pt idx="782">
                  <c:v>4.3639431710317386E-3</c:v>
                </c:pt>
                <c:pt idx="783">
                  <c:v>4.3639431710317386E-3</c:v>
                </c:pt>
                <c:pt idx="784">
                  <c:v>4.3639431710317386E-3</c:v>
                </c:pt>
                <c:pt idx="785">
                  <c:v>4.3639431710317386E-3</c:v>
                </c:pt>
                <c:pt idx="786">
                  <c:v>4.3639431710317386E-3</c:v>
                </c:pt>
                <c:pt idx="787">
                  <c:v>4.3639431710317386E-3</c:v>
                </c:pt>
                <c:pt idx="788">
                  <c:v>4.3639431710317386E-3</c:v>
                </c:pt>
                <c:pt idx="789">
                  <c:v>4.3639431710317386E-3</c:v>
                </c:pt>
                <c:pt idx="790">
                  <c:v>4.3639431710317386E-3</c:v>
                </c:pt>
                <c:pt idx="791">
                  <c:v>4.3639431710317386E-3</c:v>
                </c:pt>
                <c:pt idx="792">
                  <c:v>4.3639431710317386E-3</c:v>
                </c:pt>
                <c:pt idx="793">
                  <c:v>4.3639431710317386E-3</c:v>
                </c:pt>
                <c:pt idx="794">
                  <c:v>4.3639431710317386E-3</c:v>
                </c:pt>
                <c:pt idx="795">
                  <c:v>4.3639431710317386E-3</c:v>
                </c:pt>
                <c:pt idx="796">
                  <c:v>4.3639431710317386E-3</c:v>
                </c:pt>
                <c:pt idx="797">
                  <c:v>4.3639431710317386E-3</c:v>
                </c:pt>
                <c:pt idx="798">
                  <c:v>4.3639431710317386E-3</c:v>
                </c:pt>
                <c:pt idx="799">
                  <c:v>4.3639431710317386E-3</c:v>
                </c:pt>
                <c:pt idx="800">
                  <c:v>4.3639431710317386E-3</c:v>
                </c:pt>
                <c:pt idx="801">
                  <c:v>4.3639431710317386E-3</c:v>
                </c:pt>
                <c:pt idx="802">
                  <c:v>4.3639431710317386E-3</c:v>
                </c:pt>
                <c:pt idx="803">
                  <c:v>4.3639431710317386E-3</c:v>
                </c:pt>
                <c:pt idx="804">
                  <c:v>4.3639431710317386E-3</c:v>
                </c:pt>
                <c:pt idx="805">
                  <c:v>4.3639431710317386E-3</c:v>
                </c:pt>
                <c:pt idx="806">
                  <c:v>4.3639431710317386E-3</c:v>
                </c:pt>
                <c:pt idx="807">
                  <c:v>4.3639431710317386E-3</c:v>
                </c:pt>
                <c:pt idx="808">
                  <c:v>4.3639431710317386E-3</c:v>
                </c:pt>
                <c:pt idx="809">
                  <c:v>4.3639431710317386E-3</c:v>
                </c:pt>
                <c:pt idx="810">
                  <c:v>4.3639431710317386E-3</c:v>
                </c:pt>
                <c:pt idx="811">
                  <c:v>4.3639431710317386E-3</c:v>
                </c:pt>
                <c:pt idx="812">
                  <c:v>4.3639431710317386E-3</c:v>
                </c:pt>
                <c:pt idx="813">
                  <c:v>4.3639431710317386E-3</c:v>
                </c:pt>
                <c:pt idx="814">
                  <c:v>4.3639431710317386E-3</c:v>
                </c:pt>
                <c:pt idx="815">
                  <c:v>4.3639431710317386E-3</c:v>
                </c:pt>
                <c:pt idx="816">
                  <c:v>4.3639431710317386E-3</c:v>
                </c:pt>
                <c:pt idx="817">
                  <c:v>4.3639431710317386E-3</c:v>
                </c:pt>
                <c:pt idx="818">
                  <c:v>4.3639431710317386E-3</c:v>
                </c:pt>
                <c:pt idx="819">
                  <c:v>4.3639431710317386E-3</c:v>
                </c:pt>
                <c:pt idx="820">
                  <c:v>4.3639431710317386E-3</c:v>
                </c:pt>
                <c:pt idx="821">
                  <c:v>4.3639431710317386E-3</c:v>
                </c:pt>
                <c:pt idx="822">
                  <c:v>4.3639431710317386E-3</c:v>
                </c:pt>
                <c:pt idx="823">
                  <c:v>4.3639431710317386E-3</c:v>
                </c:pt>
                <c:pt idx="824">
                  <c:v>4.3639431710317386E-3</c:v>
                </c:pt>
                <c:pt idx="825">
                  <c:v>4.3639431710317386E-3</c:v>
                </c:pt>
                <c:pt idx="826">
                  <c:v>4.3639431710317386E-3</c:v>
                </c:pt>
                <c:pt idx="827">
                  <c:v>4.3639431710317386E-3</c:v>
                </c:pt>
                <c:pt idx="828">
                  <c:v>4.3639431710317386E-3</c:v>
                </c:pt>
                <c:pt idx="829">
                  <c:v>4.3639431710317386E-3</c:v>
                </c:pt>
                <c:pt idx="830">
                  <c:v>4.3639431710317386E-3</c:v>
                </c:pt>
                <c:pt idx="831">
                  <c:v>4.3639431710317386E-3</c:v>
                </c:pt>
                <c:pt idx="832">
                  <c:v>4.3639431710317386E-3</c:v>
                </c:pt>
                <c:pt idx="833">
                  <c:v>4.3639431710317386E-3</c:v>
                </c:pt>
                <c:pt idx="834">
                  <c:v>4.3639431710317386E-3</c:v>
                </c:pt>
                <c:pt idx="835">
                  <c:v>4.3639431710317386E-3</c:v>
                </c:pt>
                <c:pt idx="836">
                  <c:v>4.3639431710317386E-3</c:v>
                </c:pt>
                <c:pt idx="837">
                  <c:v>4.3639431710317386E-3</c:v>
                </c:pt>
                <c:pt idx="838">
                  <c:v>4.3639431710317386E-3</c:v>
                </c:pt>
                <c:pt idx="839">
                  <c:v>4.3639431710317386E-3</c:v>
                </c:pt>
                <c:pt idx="840">
                  <c:v>4.3639431710317386E-3</c:v>
                </c:pt>
                <c:pt idx="841">
                  <c:v>4.3639431710317386E-3</c:v>
                </c:pt>
                <c:pt idx="842">
                  <c:v>4.3639431710317386E-3</c:v>
                </c:pt>
                <c:pt idx="843">
                  <c:v>4.3639431710317386E-3</c:v>
                </c:pt>
                <c:pt idx="844">
                  <c:v>4.3639431710317386E-3</c:v>
                </c:pt>
                <c:pt idx="845">
                  <c:v>4.3639431710317386E-3</c:v>
                </c:pt>
                <c:pt idx="846">
                  <c:v>4.3639431710317386E-3</c:v>
                </c:pt>
                <c:pt idx="847">
                  <c:v>4.3639431710317386E-3</c:v>
                </c:pt>
                <c:pt idx="848">
                  <c:v>4.3639431710317386E-3</c:v>
                </c:pt>
                <c:pt idx="849">
                  <c:v>4.3639431710317386E-3</c:v>
                </c:pt>
                <c:pt idx="850">
                  <c:v>4.3639431710317386E-3</c:v>
                </c:pt>
                <c:pt idx="851">
                  <c:v>4.3639431710317386E-3</c:v>
                </c:pt>
                <c:pt idx="852">
                  <c:v>4.3639431710317386E-3</c:v>
                </c:pt>
                <c:pt idx="853">
                  <c:v>4.3639431710317386E-3</c:v>
                </c:pt>
                <c:pt idx="854">
                  <c:v>4.3639431710317386E-3</c:v>
                </c:pt>
                <c:pt idx="855">
                  <c:v>4.3639431710317386E-3</c:v>
                </c:pt>
                <c:pt idx="856">
                  <c:v>4.3639431710317386E-3</c:v>
                </c:pt>
                <c:pt idx="857">
                  <c:v>4.3639431710317386E-3</c:v>
                </c:pt>
                <c:pt idx="858">
                  <c:v>4.3639431710317386E-3</c:v>
                </c:pt>
                <c:pt idx="859">
                  <c:v>4.3639431710317386E-3</c:v>
                </c:pt>
                <c:pt idx="860">
                  <c:v>4.3639431710317386E-3</c:v>
                </c:pt>
                <c:pt idx="861">
                  <c:v>4.3639431710317386E-3</c:v>
                </c:pt>
                <c:pt idx="862">
                  <c:v>4.3639431710317386E-3</c:v>
                </c:pt>
                <c:pt idx="863">
                  <c:v>4.3639431710317386E-3</c:v>
                </c:pt>
                <c:pt idx="864">
                  <c:v>4.3639431710317386E-3</c:v>
                </c:pt>
                <c:pt idx="865">
                  <c:v>4.3639431710317386E-3</c:v>
                </c:pt>
                <c:pt idx="866">
                  <c:v>4.3639431710317386E-3</c:v>
                </c:pt>
                <c:pt idx="867">
                  <c:v>4.3639431710317386E-3</c:v>
                </c:pt>
                <c:pt idx="868">
                  <c:v>4.3639431710317386E-3</c:v>
                </c:pt>
                <c:pt idx="869">
                  <c:v>4.3639431710317386E-3</c:v>
                </c:pt>
                <c:pt idx="870">
                  <c:v>4.3639431710317386E-3</c:v>
                </c:pt>
                <c:pt idx="871">
                  <c:v>4.3639431710317386E-3</c:v>
                </c:pt>
                <c:pt idx="872">
                  <c:v>4.3639431710317386E-3</c:v>
                </c:pt>
                <c:pt idx="873">
                  <c:v>4.3639431710317386E-3</c:v>
                </c:pt>
                <c:pt idx="874">
                  <c:v>4.3639431710317386E-3</c:v>
                </c:pt>
                <c:pt idx="875">
                  <c:v>4.3639431710317386E-3</c:v>
                </c:pt>
                <c:pt idx="876">
                  <c:v>4.3639431710317386E-3</c:v>
                </c:pt>
                <c:pt idx="877">
                  <c:v>4.3639431710317386E-3</c:v>
                </c:pt>
                <c:pt idx="878">
                  <c:v>4.3639431710317386E-3</c:v>
                </c:pt>
                <c:pt idx="879">
                  <c:v>4.3639431710317386E-3</c:v>
                </c:pt>
                <c:pt idx="880">
                  <c:v>4.3639431710317386E-3</c:v>
                </c:pt>
                <c:pt idx="881">
                  <c:v>4.3639431710317386E-3</c:v>
                </c:pt>
                <c:pt idx="882">
                  <c:v>4.3639431710317386E-3</c:v>
                </c:pt>
                <c:pt idx="883">
                  <c:v>4.3639431710317386E-3</c:v>
                </c:pt>
                <c:pt idx="884">
                  <c:v>4.3639431710317386E-3</c:v>
                </c:pt>
                <c:pt idx="885">
                  <c:v>4.3639431710317386E-3</c:v>
                </c:pt>
                <c:pt idx="886">
                  <c:v>4.3639431710317386E-3</c:v>
                </c:pt>
                <c:pt idx="887">
                  <c:v>4.3639431710317386E-3</c:v>
                </c:pt>
                <c:pt idx="888">
                  <c:v>4.3639431710317386E-3</c:v>
                </c:pt>
                <c:pt idx="889">
                  <c:v>4.3639431710317386E-3</c:v>
                </c:pt>
                <c:pt idx="890">
                  <c:v>4.3639431710317386E-3</c:v>
                </c:pt>
                <c:pt idx="891">
                  <c:v>4.3639431710317386E-3</c:v>
                </c:pt>
                <c:pt idx="892">
                  <c:v>4.3639431710317386E-3</c:v>
                </c:pt>
                <c:pt idx="893">
                  <c:v>4.3639431710317386E-3</c:v>
                </c:pt>
                <c:pt idx="894">
                  <c:v>4.3639431710317386E-3</c:v>
                </c:pt>
                <c:pt idx="895">
                  <c:v>4.3639431710317386E-3</c:v>
                </c:pt>
                <c:pt idx="896">
                  <c:v>4.3639431710317386E-3</c:v>
                </c:pt>
                <c:pt idx="897">
                  <c:v>4.3639431710317386E-3</c:v>
                </c:pt>
                <c:pt idx="898">
                  <c:v>4.3639431710317386E-3</c:v>
                </c:pt>
                <c:pt idx="899">
                  <c:v>4.3639431710317386E-3</c:v>
                </c:pt>
                <c:pt idx="900">
                  <c:v>4.3639431710317386E-3</c:v>
                </c:pt>
              </c:numCache>
            </c:numRef>
          </c:yVal>
          <c:smooth val="0"/>
        </c:ser>
        <c:dLbls>
          <c:showLegendKey val="0"/>
          <c:showVal val="0"/>
          <c:showCatName val="0"/>
          <c:showSerName val="0"/>
          <c:showPercent val="0"/>
          <c:showBubbleSize val="0"/>
        </c:dLbls>
        <c:axId val="60494592"/>
        <c:axId val="60496128"/>
      </c:scatterChart>
      <c:valAx>
        <c:axId val="60494592"/>
        <c:scaling>
          <c:orientation val="minMax"/>
          <c:min val="0"/>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60496128"/>
        <c:crosses val="autoZero"/>
        <c:crossBetween val="midCat"/>
      </c:valAx>
      <c:valAx>
        <c:axId val="60496128"/>
        <c:scaling>
          <c:orientation val="minMax"/>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Arial"/>
                    <a:ea typeface="Arial"/>
                    <a:cs typeface="Arial"/>
                  </a:defRPr>
                </a:pPr>
                <a:r>
                  <a:rPr lang="en-US"/>
                  <a:t>Flow (cms)</a:t>
                </a:r>
              </a:p>
            </c:rich>
          </c:tx>
          <c:layout>
            <c:manualLayout>
              <c:xMode val="edge"/>
              <c:yMode val="edge"/>
              <c:x val="1.2208657047724751E-2"/>
              <c:y val="0.4730831973898878"/>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60494592"/>
        <c:crosses val="autoZero"/>
        <c:crossBetween val="midCat"/>
      </c:valAx>
      <c:spPr>
        <a:noFill/>
        <a:ln w="12700">
          <a:solidFill>
            <a:srgbClr val="808080"/>
          </a:solidFill>
          <a:prstDash val="solid"/>
        </a:ln>
      </c:spPr>
    </c:plotArea>
    <c:legend>
      <c:legendPos val="r"/>
      <c:layout>
        <c:manualLayout>
          <c:xMode val="edge"/>
          <c:yMode val="edge"/>
          <c:x val="0.90677025527192012"/>
          <c:y val="0.49429037520391605"/>
          <c:w val="8.8790233074361818E-2"/>
          <c:h val="6.6884176182707977E-2"/>
        </c:manualLayout>
      </c:layout>
      <c:overlay val="0"/>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925" b="0" i="0" u="none" strike="noStrike" baseline="0">
          <a:solidFill>
            <a:srgbClr val="000000"/>
          </a:solidFill>
          <a:latin typeface="Arial"/>
          <a:ea typeface="Arial"/>
          <a:cs typeface="Arial"/>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Enahnced</c:v>
          </c:tx>
          <c:xVal>
            <c:numRef>
              <c:f>Data!$A$19:$A$22</c:f>
              <c:numCache>
                <c:formatCode>0%</c:formatCode>
                <c:ptCount val="4"/>
                <c:pt idx="0">
                  <c:v>0.35</c:v>
                </c:pt>
                <c:pt idx="1">
                  <c:v>0.55000000000000004</c:v>
                </c:pt>
                <c:pt idx="2">
                  <c:v>0.7</c:v>
                </c:pt>
                <c:pt idx="3">
                  <c:v>0.85</c:v>
                </c:pt>
              </c:numCache>
            </c:numRef>
          </c:xVal>
          <c:yVal>
            <c:numRef>
              <c:f>Data!$B$19:$B$22</c:f>
              <c:numCache>
                <c:formatCode>General</c:formatCode>
                <c:ptCount val="4"/>
                <c:pt idx="0">
                  <c:v>100</c:v>
                </c:pt>
                <c:pt idx="1">
                  <c:v>150</c:v>
                </c:pt>
                <c:pt idx="2">
                  <c:v>185</c:v>
                </c:pt>
                <c:pt idx="3">
                  <c:v>210</c:v>
                </c:pt>
              </c:numCache>
            </c:numRef>
          </c:yVal>
          <c:smooth val="0"/>
        </c:ser>
        <c:ser>
          <c:idx val="1"/>
          <c:order val="1"/>
          <c:tx>
            <c:v>Normal</c:v>
          </c:tx>
          <c:xVal>
            <c:numRef>
              <c:f>Data!$A$19:$A$22</c:f>
              <c:numCache>
                <c:formatCode>0%</c:formatCode>
                <c:ptCount val="4"/>
                <c:pt idx="0">
                  <c:v>0.35</c:v>
                </c:pt>
                <c:pt idx="1">
                  <c:v>0.55000000000000004</c:v>
                </c:pt>
                <c:pt idx="2">
                  <c:v>0.7</c:v>
                </c:pt>
                <c:pt idx="3">
                  <c:v>0.85</c:v>
                </c:pt>
              </c:numCache>
            </c:numRef>
          </c:xVal>
          <c:yVal>
            <c:numRef>
              <c:f>Data!$C$19:$C$22</c:f>
              <c:numCache>
                <c:formatCode>General</c:formatCode>
                <c:ptCount val="4"/>
                <c:pt idx="0">
                  <c:v>50</c:v>
                </c:pt>
                <c:pt idx="1">
                  <c:v>70</c:v>
                </c:pt>
                <c:pt idx="2">
                  <c:v>90</c:v>
                </c:pt>
                <c:pt idx="3">
                  <c:v>110</c:v>
                </c:pt>
              </c:numCache>
            </c:numRef>
          </c:yVal>
          <c:smooth val="0"/>
        </c:ser>
        <c:ser>
          <c:idx val="2"/>
          <c:order val="2"/>
          <c:tx>
            <c:v>Basic</c:v>
          </c:tx>
          <c:xVal>
            <c:numRef>
              <c:f>Data!$A$19:$A$22</c:f>
              <c:numCache>
                <c:formatCode>0%</c:formatCode>
                <c:ptCount val="4"/>
                <c:pt idx="0">
                  <c:v>0.35</c:v>
                </c:pt>
                <c:pt idx="1">
                  <c:v>0.55000000000000004</c:v>
                </c:pt>
                <c:pt idx="2">
                  <c:v>0.7</c:v>
                </c:pt>
                <c:pt idx="3">
                  <c:v>0.85</c:v>
                </c:pt>
              </c:numCache>
            </c:numRef>
          </c:xVal>
          <c:yVal>
            <c:numRef>
              <c:f>Data!$D$19:$D$22</c:f>
              <c:numCache>
                <c:formatCode>General</c:formatCode>
                <c:ptCount val="4"/>
                <c:pt idx="0">
                  <c:v>20</c:v>
                </c:pt>
                <c:pt idx="1">
                  <c:v>35</c:v>
                </c:pt>
                <c:pt idx="2">
                  <c:v>45</c:v>
                </c:pt>
                <c:pt idx="3">
                  <c:v>55</c:v>
                </c:pt>
              </c:numCache>
            </c:numRef>
          </c:yVal>
          <c:smooth val="0"/>
        </c:ser>
        <c:dLbls>
          <c:showLegendKey val="0"/>
          <c:showVal val="0"/>
          <c:showCatName val="0"/>
          <c:showSerName val="0"/>
          <c:showPercent val="0"/>
          <c:showBubbleSize val="0"/>
        </c:dLbls>
        <c:axId val="60670720"/>
        <c:axId val="60672256"/>
      </c:scatterChart>
      <c:valAx>
        <c:axId val="60670720"/>
        <c:scaling>
          <c:orientation val="minMax"/>
        </c:scaling>
        <c:delete val="0"/>
        <c:axPos val="b"/>
        <c:numFmt formatCode="0%" sourceLinked="1"/>
        <c:majorTickMark val="out"/>
        <c:minorTickMark val="out"/>
        <c:tickLblPos val="nextTo"/>
        <c:crossAx val="60672256"/>
        <c:crosses val="autoZero"/>
        <c:crossBetween val="midCat"/>
        <c:minorUnit val="0.1"/>
      </c:valAx>
      <c:valAx>
        <c:axId val="60672256"/>
        <c:scaling>
          <c:orientation val="minMax"/>
        </c:scaling>
        <c:delete val="0"/>
        <c:axPos val="l"/>
        <c:majorGridlines/>
        <c:numFmt formatCode="General" sourceLinked="1"/>
        <c:majorTickMark val="out"/>
        <c:minorTickMark val="none"/>
        <c:tickLblPos val="nextTo"/>
        <c:crossAx val="60670720"/>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chartsheets/sheet1.xml><?xml version="1.0" encoding="utf-8"?>
<chartsheet xmlns="http://schemas.openxmlformats.org/spreadsheetml/2006/main" xmlns:r="http://schemas.openxmlformats.org/officeDocument/2006/relationships">
  <sheetPr codeName="Chart8"/>
  <sheetViews>
    <sheetView zoomScale="105" workbookViewId="0"/>
  </sheetViews>
  <pageMargins left="0.75" right="0.75" top="1" bottom="1" header="0.5" footer="0.5"/>
  <pageSetup orientation="landscape" r:id="rId1"/>
  <headerFooter alignWithMargins="0"/>
  <drawing r:id="rId2"/>
</chartsheet>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13</xdr:col>
      <xdr:colOff>476250</xdr:colOff>
      <xdr:row>23</xdr:row>
      <xdr:rowOff>114300</xdr:rowOff>
    </xdr:from>
    <xdr:to>
      <xdr:col>15</xdr:col>
      <xdr:colOff>561975</xdr:colOff>
      <xdr:row>23</xdr:row>
      <xdr:rowOff>133350</xdr:rowOff>
    </xdr:to>
    <xdr:cxnSp macro="">
      <xdr:nvCxnSpPr>
        <xdr:cNvPr id="11" name="Straight Connector 10"/>
        <xdr:cNvCxnSpPr/>
      </xdr:nvCxnSpPr>
      <xdr:spPr bwMode="auto">
        <a:xfrm flipV="1">
          <a:off x="7077075" y="600075"/>
          <a:ext cx="1304925" cy="19050"/>
        </a:xfrm>
        <a:prstGeom prst="line">
          <a:avLst/>
        </a:prstGeom>
        <a:solidFill>
          <a:srgbClr val="FFFFFF"/>
        </a:solidFill>
        <a:ln w="9525" cap="flat" cmpd="sng" algn="ctr">
          <a:noFill/>
          <a:prstDash val="solid"/>
          <a:round/>
          <a:headEnd type="none" w="med" len="med"/>
          <a:tailEnd type="none" w="med" len="med"/>
        </a:ln>
        <a:effectLst>
          <a:outerShdw dist="107763" dir="2700000" algn="ctr" rotWithShape="0">
            <a:srgbClr val="808080"/>
          </a:outerShdw>
        </a:effectLst>
      </xdr:spPr>
    </xdr:cxnSp>
    <xdr:clientData/>
  </xdr:twoCellAnchor>
  <xdr:twoCellAnchor editAs="oneCell">
    <xdr:from>
      <xdr:col>16</xdr:col>
      <xdr:colOff>438149</xdr:colOff>
      <xdr:row>13</xdr:row>
      <xdr:rowOff>133351</xdr:rowOff>
    </xdr:from>
    <xdr:to>
      <xdr:col>21</xdr:col>
      <xdr:colOff>504825</xdr:colOff>
      <xdr:row>28</xdr:row>
      <xdr:rowOff>85395</xdr:rowOff>
    </xdr:to>
    <xdr:pic>
      <xdr:nvPicPr>
        <xdr:cNvPr id="614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8829674" y="2390776"/>
          <a:ext cx="3371851" cy="1904669"/>
        </a:xfrm>
        <a:prstGeom prst="rect">
          <a:avLst/>
        </a:prstGeom>
        <a:noFill/>
      </xdr:spPr>
    </xdr:pic>
    <xdr:clientData/>
  </xdr:twoCellAnchor>
  <xdr:twoCellAnchor>
    <xdr:from>
      <xdr:col>12</xdr:col>
      <xdr:colOff>552450</xdr:colOff>
      <xdr:row>67</xdr:row>
      <xdr:rowOff>28575</xdr:rowOff>
    </xdr:from>
    <xdr:to>
      <xdr:col>21</xdr:col>
      <xdr:colOff>0</xdr:colOff>
      <xdr:row>84</xdr:row>
      <xdr:rowOff>19050</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619125</xdr:colOff>
      <xdr:row>2</xdr:row>
      <xdr:rowOff>76200</xdr:rowOff>
    </xdr:from>
    <xdr:to>
      <xdr:col>21</xdr:col>
      <xdr:colOff>0</xdr:colOff>
      <xdr:row>14</xdr:row>
      <xdr:rowOff>47625</xdr:rowOff>
    </xdr:to>
    <xdr:grpSp>
      <xdr:nvGrpSpPr>
        <xdr:cNvPr id="21" name="Group 20"/>
        <xdr:cNvGrpSpPr/>
      </xdr:nvGrpSpPr>
      <xdr:grpSpPr>
        <a:xfrm>
          <a:off x="10239375" y="447675"/>
          <a:ext cx="2686050" cy="2038350"/>
          <a:chOff x="7839075" y="4800600"/>
          <a:chExt cx="3048000" cy="1514475"/>
        </a:xfrm>
      </xdr:grpSpPr>
      <xdr:sp macro="" textlink="">
        <xdr:nvSpPr>
          <xdr:cNvPr id="22" name="TextBox 21"/>
          <xdr:cNvSpPr txBox="1"/>
        </xdr:nvSpPr>
        <xdr:spPr>
          <a:xfrm>
            <a:off x="9096375" y="6076950"/>
            <a:ext cx="26670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t</a:t>
            </a:r>
          </a:p>
        </xdr:txBody>
      </xdr:sp>
      <xdr:grpSp>
        <xdr:nvGrpSpPr>
          <xdr:cNvPr id="23" name="Group 12"/>
          <xdr:cNvGrpSpPr/>
        </xdr:nvGrpSpPr>
        <xdr:grpSpPr>
          <a:xfrm>
            <a:off x="8267700" y="4800600"/>
            <a:ext cx="2619375" cy="1143000"/>
            <a:chOff x="5743575" y="6391275"/>
            <a:chExt cx="2619375" cy="1143000"/>
          </a:xfrm>
        </xdr:grpSpPr>
        <xdr:sp macro="" textlink="">
          <xdr:nvSpPr>
            <xdr:cNvPr id="27" name="Line 1"/>
            <xdr:cNvSpPr>
              <a:spLocks noChangeShapeType="1"/>
            </xdr:cNvSpPr>
          </xdr:nvSpPr>
          <xdr:spPr bwMode="auto">
            <a:xfrm>
              <a:off x="5743575" y="6391275"/>
              <a:ext cx="0" cy="1133475"/>
            </a:xfrm>
            <a:prstGeom prst="line">
              <a:avLst/>
            </a:prstGeom>
            <a:noFill/>
            <a:ln w="9525">
              <a:solidFill>
                <a:srgbClr val="000000"/>
              </a:solidFill>
              <a:round/>
              <a:headEnd/>
              <a:tailEnd/>
            </a:ln>
            <a:effectLst/>
          </xdr:spPr>
        </xdr:sp>
        <xdr:sp macro="" textlink="">
          <xdr:nvSpPr>
            <xdr:cNvPr id="28" name="Line 2"/>
            <xdr:cNvSpPr>
              <a:spLocks noChangeShapeType="1"/>
            </xdr:cNvSpPr>
          </xdr:nvSpPr>
          <xdr:spPr bwMode="auto">
            <a:xfrm>
              <a:off x="5743575" y="7524750"/>
              <a:ext cx="2619375" cy="0"/>
            </a:xfrm>
            <a:prstGeom prst="line">
              <a:avLst/>
            </a:prstGeom>
            <a:noFill/>
            <a:ln w="9525">
              <a:solidFill>
                <a:srgbClr val="000000"/>
              </a:solidFill>
              <a:round/>
              <a:headEnd/>
              <a:tailEnd/>
            </a:ln>
            <a:effectLst/>
          </xdr:spPr>
        </xdr:sp>
        <xdr:sp macro="" textlink="">
          <xdr:nvSpPr>
            <xdr:cNvPr id="29" name="Line 3"/>
            <xdr:cNvSpPr>
              <a:spLocks noChangeShapeType="1"/>
            </xdr:cNvSpPr>
          </xdr:nvSpPr>
          <xdr:spPr bwMode="auto">
            <a:xfrm flipV="1">
              <a:off x="5743575" y="6715125"/>
              <a:ext cx="609600" cy="809625"/>
            </a:xfrm>
            <a:prstGeom prst="line">
              <a:avLst/>
            </a:prstGeom>
            <a:ln>
              <a:headEnd/>
              <a:tailEnd/>
            </a:ln>
          </xdr:spPr>
          <xdr:style>
            <a:lnRef idx="2">
              <a:schemeClr val="accent1"/>
            </a:lnRef>
            <a:fillRef idx="0">
              <a:schemeClr val="accent1"/>
            </a:fillRef>
            <a:effectRef idx="1">
              <a:schemeClr val="accent1"/>
            </a:effectRef>
            <a:fontRef idx="minor">
              <a:schemeClr val="tx1"/>
            </a:fontRef>
          </xdr:style>
        </xdr:sp>
        <xdr:sp macro="" textlink="">
          <xdr:nvSpPr>
            <xdr:cNvPr id="30" name="Line 4"/>
            <xdr:cNvSpPr>
              <a:spLocks noChangeShapeType="1"/>
            </xdr:cNvSpPr>
          </xdr:nvSpPr>
          <xdr:spPr bwMode="auto">
            <a:xfrm>
              <a:off x="6353175" y="6715125"/>
              <a:ext cx="1762125" cy="809625"/>
            </a:xfrm>
            <a:prstGeom prst="line">
              <a:avLst/>
            </a:prstGeom>
            <a:ln>
              <a:headEnd/>
              <a:tailEnd/>
            </a:ln>
          </xdr:spPr>
          <xdr:style>
            <a:lnRef idx="2">
              <a:schemeClr val="accent1"/>
            </a:lnRef>
            <a:fillRef idx="0">
              <a:schemeClr val="accent1"/>
            </a:fillRef>
            <a:effectRef idx="1">
              <a:schemeClr val="accent1"/>
            </a:effectRef>
            <a:fontRef idx="minor">
              <a:schemeClr val="tx1"/>
            </a:fontRef>
          </xdr:style>
        </xdr:sp>
        <xdr:sp macro="" textlink="">
          <xdr:nvSpPr>
            <xdr:cNvPr id="31" name="Line 7"/>
            <xdr:cNvSpPr>
              <a:spLocks noChangeShapeType="1"/>
            </xdr:cNvSpPr>
          </xdr:nvSpPr>
          <xdr:spPr bwMode="auto">
            <a:xfrm>
              <a:off x="6353175" y="6715125"/>
              <a:ext cx="0" cy="819150"/>
            </a:xfrm>
            <a:prstGeom prst="line">
              <a:avLst/>
            </a:prstGeom>
            <a:noFill/>
            <a:ln w="9525">
              <a:solidFill>
                <a:srgbClr val="000000"/>
              </a:solidFill>
              <a:round/>
              <a:headEnd/>
              <a:tailEnd/>
            </a:ln>
            <a:effectLst/>
          </xdr:spPr>
        </xdr:sp>
        <xdr:sp macro="" textlink="">
          <xdr:nvSpPr>
            <xdr:cNvPr id="32" name="Text Box 8"/>
            <xdr:cNvSpPr txBox="1">
              <a:spLocks noChangeArrowheads="1"/>
            </xdr:cNvSpPr>
          </xdr:nvSpPr>
          <xdr:spPr bwMode="auto">
            <a:xfrm>
              <a:off x="6029325" y="7239000"/>
              <a:ext cx="266700" cy="209550"/>
            </a:xfrm>
            <a:prstGeom prst="rect">
              <a:avLst/>
            </a:prstGeom>
            <a:noFill/>
            <a:ln w="9525">
              <a:noFill/>
              <a:miter lim="800000"/>
              <a:headEnd/>
              <a:tailEnd/>
            </a:ln>
            <a:effectLst/>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1</a:t>
              </a:r>
            </a:p>
          </xdr:txBody>
        </xdr:sp>
        <xdr:sp macro="" textlink="">
          <xdr:nvSpPr>
            <xdr:cNvPr id="33" name="Text Box 9"/>
            <xdr:cNvSpPr txBox="1">
              <a:spLocks noChangeArrowheads="1"/>
            </xdr:cNvSpPr>
          </xdr:nvSpPr>
          <xdr:spPr bwMode="auto">
            <a:xfrm>
              <a:off x="6740593" y="7238471"/>
              <a:ext cx="304800" cy="247650"/>
            </a:xfrm>
            <a:prstGeom prst="rect">
              <a:avLst/>
            </a:prstGeom>
            <a:noFill/>
            <a:ln w="9525">
              <a:noFill/>
              <a:miter lim="800000"/>
              <a:headEnd/>
              <a:tailEnd/>
            </a:ln>
            <a:effectLst/>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2</a:t>
              </a:r>
            </a:p>
          </xdr:txBody>
        </xdr:sp>
      </xdr:grpSp>
      <xdr:sp macro="" textlink="">
        <xdr:nvSpPr>
          <xdr:cNvPr id="24" name="TextBox 23"/>
          <xdr:cNvSpPr txBox="1"/>
        </xdr:nvSpPr>
        <xdr:spPr>
          <a:xfrm>
            <a:off x="8705849" y="5962649"/>
            <a:ext cx="33337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T</a:t>
            </a:r>
            <a:r>
              <a:rPr lang="en-US" sz="1100" baseline="-25000"/>
              <a:t>c</a:t>
            </a:r>
          </a:p>
        </xdr:txBody>
      </xdr:sp>
      <xdr:sp macro="" textlink="">
        <xdr:nvSpPr>
          <xdr:cNvPr id="25" name="TextBox 24"/>
          <xdr:cNvSpPr txBox="1"/>
        </xdr:nvSpPr>
        <xdr:spPr>
          <a:xfrm>
            <a:off x="7839075" y="5029201"/>
            <a:ext cx="3905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Q</a:t>
            </a:r>
            <a:r>
              <a:rPr lang="en-US" sz="1100" baseline="-25000"/>
              <a:t>p</a:t>
            </a:r>
          </a:p>
        </xdr:txBody>
      </xdr:sp>
      <xdr:cxnSp macro="">
        <xdr:nvCxnSpPr>
          <xdr:cNvPr id="26" name="Straight Connector 25"/>
          <xdr:cNvCxnSpPr/>
        </xdr:nvCxnSpPr>
        <xdr:spPr bwMode="auto">
          <a:xfrm flipH="1">
            <a:off x="8267700" y="5124450"/>
            <a:ext cx="609600" cy="0"/>
          </a:xfrm>
          <a:prstGeom prst="line">
            <a:avLst/>
          </a:prstGeom>
          <a:solidFill>
            <a:srgbClr val="FFFFFF"/>
          </a:solidFill>
          <a:ln w="9525" cap="flat" cmpd="sng" algn="ctr">
            <a:solidFill>
              <a:srgbClr val="000000"/>
            </a:solidFill>
            <a:prstDash val="sysDash"/>
            <a:round/>
            <a:headEnd type="none" w="med" len="med"/>
            <a:tailEnd type="none" w="med" len="med"/>
          </a:ln>
          <a:effectLst/>
        </xdr:spPr>
      </xdr:cxnSp>
    </xdr:grpSp>
    <xdr:clientData/>
  </xdr:twoCellAnchor>
  <xdr:twoCellAnchor>
    <xdr:from>
      <xdr:col>12</xdr:col>
      <xdr:colOff>552450</xdr:colOff>
      <xdr:row>84</xdr:row>
      <xdr:rowOff>123825</xdr:rowOff>
    </xdr:from>
    <xdr:to>
      <xdr:col>21</xdr:col>
      <xdr:colOff>0</xdr:colOff>
      <xdr:row>102</xdr:row>
      <xdr:rowOff>28575</xdr:rowOff>
    </xdr:to>
    <xdr:graphicFrame macro="">
      <xdr:nvGraphicFramePr>
        <xdr:cNvPr id="34" name="Chart 3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23</xdr:col>
      <xdr:colOff>152401</xdr:colOff>
      <xdr:row>33</xdr:row>
      <xdr:rowOff>76201</xdr:rowOff>
    </xdr:from>
    <xdr:to>
      <xdr:col>31</xdr:col>
      <xdr:colOff>57151</xdr:colOff>
      <xdr:row>50</xdr:row>
      <xdr:rowOff>66648</xdr:rowOff>
    </xdr:to>
    <xdr:pic>
      <xdr:nvPicPr>
        <xdr:cNvPr id="2" name="Picture 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6544926" y="5133976"/>
          <a:ext cx="4781550" cy="2895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142875</xdr:colOff>
      <xdr:row>2</xdr:row>
      <xdr:rowOff>138112</xdr:rowOff>
    </xdr:from>
    <xdr:to>
      <xdr:col>20</xdr:col>
      <xdr:colOff>95250</xdr:colOff>
      <xdr:row>18</xdr:row>
      <xdr:rowOff>4762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10</xdr:col>
      <xdr:colOff>367665</xdr:colOff>
      <xdr:row>17</xdr:row>
      <xdr:rowOff>105441</xdr:rowOff>
    </xdr:from>
    <xdr:ext cx="1832610" cy="432298"/>
    <mc:AlternateContent xmlns:mc="http://schemas.openxmlformats.org/markup-compatibility/2006" xmlns:a14="http://schemas.microsoft.com/office/drawing/2010/main">
      <mc:Choice Requires="a14">
        <xdr:sp macro="" textlink="">
          <xdr:nvSpPr>
            <xdr:cNvPr id="3" name="TextBox 2"/>
            <xdr:cNvSpPr txBox="1"/>
          </xdr:nvSpPr>
          <xdr:spPr>
            <a:xfrm>
              <a:off x="8130540" y="6010941"/>
              <a:ext cx="1832610" cy="4322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a:t>t</a:t>
              </a:r>
              <a:r>
                <a:rPr lang="en-US" sz="1400" baseline="0"/>
                <a:t> </a:t>
              </a:r>
              <a14:m>
                <m:oMath xmlns:m="http://schemas.openxmlformats.org/officeDocument/2006/math">
                  <m:r>
                    <a:rPr lang="en-US" sz="1400" i="1">
                      <a:latin typeface="Cambria Math"/>
                    </a:rPr>
                    <m:t>=</m:t>
                  </m:r>
                  <m:f>
                    <m:fPr>
                      <m:ctrlPr>
                        <a:rPr lang="en-US" sz="1400" i="1">
                          <a:latin typeface="Cambria Math"/>
                        </a:rPr>
                      </m:ctrlPr>
                    </m:fPr>
                    <m:num>
                      <m:r>
                        <a:rPr lang="en-US" sz="1400" b="0" i="1">
                          <a:latin typeface="Cambria Math"/>
                        </a:rPr>
                        <m:t>2</m:t>
                      </m:r>
                      <m:r>
                        <a:rPr lang="en-US" sz="1400" b="0" i="1">
                          <a:latin typeface="Cambria Math"/>
                        </a:rPr>
                        <m:t>𝐴𝑝</m:t>
                      </m:r>
                      <m:r>
                        <a:rPr lang="en-US" sz="1400" b="0" i="1">
                          <a:latin typeface="Cambria Math"/>
                        </a:rPr>
                        <m:t>(</m:t>
                      </m:r>
                      <m:r>
                        <a:rPr lang="en-US" sz="1400" b="0" i="1">
                          <a:latin typeface="Cambria Math"/>
                        </a:rPr>
                        <m:t>h</m:t>
                      </m:r>
                      <m:r>
                        <a:rPr lang="en-US" sz="1400" b="0" i="1" baseline="-25000">
                          <a:latin typeface="Cambria Math"/>
                        </a:rPr>
                        <m:t>1</m:t>
                      </m:r>
                      <m:r>
                        <a:rPr lang="en-US" sz="1400" b="0" i="1" baseline="30000">
                          <a:latin typeface="Cambria Math"/>
                        </a:rPr>
                        <m:t>0.5</m:t>
                      </m:r>
                      <m:r>
                        <a:rPr lang="en-US" sz="1400" b="0" i="1">
                          <a:latin typeface="Cambria Math"/>
                        </a:rPr>
                        <m:t> −</m:t>
                      </m:r>
                      <m:r>
                        <a:rPr lang="en-US" sz="1400" b="0" i="1">
                          <a:latin typeface="Cambria Math"/>
                        </a:rPr>
                        <m:t>h</m:t>
                      </m:r>
                      <m:r>
                        <a:rPr lang="en-US" sz="1400" b="0" i="1" baseline="-25000">
                          <a:latin typeface="Cambria Math"/>
                        </a:rPr>
                        <m:t>2</m:t>
                      </m:r>
                      <m:r>
                        <a:rPr lang="en-US" sz="1400" b="0" i="1" baseline="30000">
                          <a:latin typeface="Cambria Math"/>
                        </a:rPr>
                        <m:t>0.5</m:t>
                      </m:r>
                      <m:r>
                        <a:rPr lang="en-US" sz="1400" b="0" i="1">
                          <a:latin typeface="Cambria Math"/>
                        </a:rPr>
                        <m:t>)</m:t>
                      </m:r>
                    </m:num>
                    <m:den>
                      <m:r>
                        <a:rPr lang="en-US" sz="1400" b="0" i="1">
                          <a:latin typeface="Cambria Math"/>
                        </a:rPr>
                        <m:t>𝐶𝐴</m:t>
                      </m:r>
                      <m:r>
                        <a:rPr lang="en-US" sz="1400" b="0" i="1" baseline="-25000">
                          <a:latin typeface="Cambria Math"/>
                        </a:rPr>
                        <m:t>𝑜</m:t>
                      </m:r>
                      <m:d>
                        <m:dPr>
                          <m:ctrlPr>
                            <a:rPr lang="en-US" sz="1400" b="0" i="1">
                              <a:latin typeface="Cambria Math"/>
                            </a:rPr>
                          </m:ctrlPr>
                        </m:dPr>
                        <m:e>
                          <m:r>
                            <a:rPr lang="en-US" sz="1400" b="0" i="1">
                              <a:latin typeface="Cambria Math"/>
                            </a:rPr>
                            <m:t>2</m:t>
                          </m:r>
                          <m:r>
                            <a:rPr lang="en-US" sz="1400" b="0" i="1">
                              <a:latin typeface="Cambria Math"/>
                            </a:rPr>
                            <m:t>𝑔</m:t>
                          </m:r>
                        </m:e>
                      </m:d>
                      <m:r>
                        <a:rPr lang="en-US" sz="1400" b="0" i="1" baseline="30000">
                          <a:latin typeface="Cambria Math"/>
                        </a:rPr>
                        <m:t>0.5</m:t>
                      </m:r>
                    </m:den>
                  </m:f>
                </m:oMath>
              </a14:m>
              <a:endParaRPr lang="en-US" sz="1400"/>
            </a:p>
          </xdr:txBody>
        </xdr:sp>
      </mc:Choice>
      <mc:Fallback xmlns="">
        <xdr:sp macro="" textlink="">
          <xdr:nvSpPr>
            <xdr:cNvPr id="3" name="TextBox 2"/>
            <xdr:cNvSpPr txBox="1"/>
          </xdr:nvSpPr>
          <xdr:spPr>
            <a:xfrm>
              <a:off x="8130540" y="6010941"/>
              <a:ext cx="1832610" cy="4322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a:t>t</a:t>
              </a:r>
              <a:r>
                <a:rPr lang="en-US" sz="1400" baseline="0"/>
                <a:t> </a:t>
              </a:r>
              <a:r>
                <a:rPr lang="en-US" sz="1400" i="0">
                  <a:latin typeface="Cambria Math"/>
                </a:rPr>
                <a:t>=(</a:t>
              </a:r>
              <a:r>
                <a:rPr lang="en-US" sz="1400" b="0" i="0">
                  <a:latin typeface="Cambria Math"/>
                </a:rPr>
                <a:t>2𝐴</a:t>
              </a:r>
              <a:r>
                <a:rPr lang="en-US" sz="1400" b="0" i="0" baseline="-25000">
                  <a:latin typeface="Cambria Math"/>
                </a:rPr>
                <a:t>𝑝</a:t>
              </a:r>
              <a:r>
                <a:rPr lang="en-US" sz="1400" b="0" i="0">
                  <a:latin typeface="Cambria Math"/>
                </a:rPr>
                <a:t>(ℎ</a:t>
              </a:r>
              <a:r>
                <a:rPr lang="en-US" sz="1400" b="0" i="0" baseline="-25000">
                  <a:latin typeface="Cambria Math"/>
                </a:rPr>
                <a:t>1</a:t>
              </a:r>
              <a:r>
                <a:rPr lang="en-US" sz="1400" b="0" i="0" baseline="30000">
                  <a:latin typeface="Cambria Math"/>
                </a:rPr>
                <a:t>0.5</a:t>
              </a:r>
              <a:r>
                <a:rPr lang="en-US" sz="1400" b="0" i="0">
                  <a:latin typeface="Cambria Math"/>
                </a:rPr>
                <a:t> −ℎ</a:t>
              </a:r>
              <a:r>
                <a:rPr lang="en-US" sz="1400" b="0" i="0" baseline="-25000">
                  <a:latin typeface="Cambria Math"/>
                </a:rPr>
                <a:t>2</a:t>
              </a:r>
              <a:r>
                <a:rPr lang="en-US" sz="1400" b="0" i="0" baseline="30000">
                  <a:latin typeface="Cambria Math"/>
                </a:rPr>
                <a:t>0.5</a:t>
              </a:r>
              <a:r>
                <a:rPr lang="en-US" sz="1400" b="0" i="0">
                  <a:latin typeface="Cambria Math"/>
                </a:rPr>
                <a:t>))/𝐶𝐴</a:t>
              </a:r>
              <a:r>
                <a:rPr lang="en-US" sz="1400" b="0" i="0" baseline="-25000">
                  <a:latin typeface="Cambria Math"/>
                </a:rPr>
                <a:t>𝑜(</a:t>
              </a:r>
              <a:r>
                <a:rPr lang="en-US" sz="1400" b="0" i="0">
                  <a:latin typeface="Cambria Math"/>
                </a:rPr>
                <a:t>2𝑔)</a:t>
              </a:r>
              <a:r>
                <a:rPr lang="en-US" sz="1400" b="0" i="0" baseline="30000">
                  <a:latin typeface="Cambria Math"/>
                </a:rPr>
                <a:t>0.5</a:t>
              </a:r>
              <a:endParaRPr lang="en-US" sz="14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absoluteAnchor>
    <xdr:pos x="0" y="0"/>
    <xdr:ext cx="8581571" cy="58420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xdr:from>
      <xdr:col>5</xdr:col>
      <xdr:colOff>457200</xdr:colOff>
      <xdr:row>11</xdr:row>
      <xdr:rowOff>23812</xdr:rowOff>
    </xdr:from>
    <xdr:to>
      <xdr:col>13</xdr:col>
      <xdr:colOff>152400</xdr:colOff>
      <xdr:row>28</xdr:row>
      <xdr:rowOff>14287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107763" dir="2700000" algn="ctr" rotWithShape="0">
            <a:srgbClr val="808080"/>
          </a:outerShdw>
        </a:effectLst>
      </a:spPr>
      <a:bodyPr vertOverflow="clip" wrap="square" lIns="91440" tIns="45720" rIns="91440" bIns="45720" upright="1"/>
      <a:lstStyle/>
    </a:spDef>
    <a:lnDef>
      <a:spPr bwMode="auto">
        <a:solidFill>
          <a:srgbClr val="FFFFFF"/>
        </a:solidFill>
        <a:ln w="9525" cap="flat" cmpd="sng" algn="ctr">
          <a:solidFill>
            <a:srgbClr val="000000"/>
          </a:solidFill>
          <a:prstDash val="solid"/>
          <a:round/>
          <a:headEnd type="none" w="med" len="med"/>
          <a:tailEnd type="none" w="med" len="med"/>
        </a:ln>
        <a:effectLst/>
      </a:spPr>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keene@quinteconservation.ca"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25"/>
  <sheetViews>
    <sheetView tabSelected="1" workbookViewId="0"/>
  </sheetViews>
  <sheetFormatPr defaultRowHeight="12.75"/>
  <sheetData>
    <row r="1" spans="1:7">
      <c r="A1" s="5" t="s">
        <v>141</v>
      </c>
    </row>
    <row r="3" spans="1:7">
      <c r="A3" s="57" t="s">
        <v>142</v>
      </c>
    </row>
    <row r="4" spans="1:7" s="14" customFormat="1">
      <c r="A4" s="57" t="s">
        <v>293</v>
      </c>
    </row>
    <row r="5" spans="1:7" s="14" customFormat="1">
      <c r="A5" s="57"/>
    </row>
    <row r="6" spans="1:7">
      <c r="A6" s="57" t="s">
        <v>192</v>
      </c>
    </row>
    <row r="7" spans="1:7">
      <c r="A7" s="57" t="s">
        <v>193</v>
      </c>
    </row>
    <row r="8" spans="1:7" s="14" customFormat="1" ht="13.5" thickBot="1">
      <c r="A8" s="57"/>
    </row>
    <row r="9" spans="1:7" ht="13.5" thickBot="1">
      <c r="A9" s="57" t="s">
        <v>191</v>
      </c>
      <c r="G9" s="58">
        <v>0</v>
      </c>
    </row>
    <row r="11" spans="1:7" s="14" customFormat="1">
      <c r="A11" s="57" t="s">
        <v>147</v>
      </c>
    </row>
    <row r="12" spans="1:7" s="14" customFormat="1">
      <c r="A12" s="59" t="s">
        <v>148</v>
      </c>
    </row>
    <row r="13" spans="1:7" s="14" customFormat="1"/>
    <row r="14" spans="1:7">
      <c r="A14" s="57" t="s">
        <v>143</v>
      </c>
    </row>
    <row r="15" spans="1:7">
      <c r="A15" s="59" t="s">
        <v>144</v>
      </c>
    </row>
    <row r="16" spans="1:7">
      <c r="A16" s="59"/>
    </row>
    <row r="17" spans="1:1">
      <c r="A17" s="59" t="s">
        <v>145</v>
      </c>
    </row>
    <row r="18" spans="1:1">
      <c r="A18" s="59" t="s">
        <v>146</v>
      </c>
    </row>
    <row r="19" spans="1:1" s="14" customFormat="1">
      <c r="A19" s="59"/>
    </row>
    <row r="20" spans="1:1" s="14" customFormat="1">
      <c r="A20" s="59" t="s">
        <v>227</v>
      </c>
    </row>
    <row r="21" spans="1:1" s="14" customFormat="1">
      <c r="A21" s="59" t="s">
        <v>228</v>
      </c>
    </row>
    <row r="23" spans="1:1">
      <c r="A23" s="57" t="s">
        <v>149</v>
      </c>
    </row>
    <row r="24" spans="1:1">
      <c r="A24" s="57" t="s">
        <v>150</v>
      </c>
    </row>
    <row r="25" spans="1:1">
      <c r="A25" s="60" t="s">
        <v>151</v>
      </c>
    </row>
  </sheetData>
  <hyperlinks>
    <hyperlink ref="A25"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workbookViewId="0"/>
  </sheetViews>
  <sheetFormatPr defaultRowHeight="12.75"/>
  <cols>
    <col min="1" max="1" width="16.140625" customWidth="1"/>
    <col min="2" max="2" width="6.28515625" style="14" customWidth="1"/>
  </cols>
  <sheetData>
    <row r="1" spans="1:8" s="14" customFormat="1" ht="15.75">
      <c r="A1" s="143" t="s">
        <v>229</v>
      </c>
    </row>
    <row r="2" spans="1:8" s="14" customFormat="1">
      <c r="G2" s="14" t="s">
        <v>158</v>
      </c>
    </row>
    <row r="3" spans="1:8" s="14" customFormat="1">
      <c r="G3" s="14" t="s">
        <v>159</v>
      </c>
    </row>
    <row r="4" spans="1:8">
      <c r="A4" s="14" t="s">
        <v>68</v>
      </c>
      <c r="D4" s="21"/>
    </row>
    <row r="5" spans="1:8">
      <c r="A5" t="s">
        <v>54</v>
      </c>
      <c r="C5" s="3">
        <v>2</v>
      </c>
      <c r="D5" s="3">
        <v>5</v>
      </c>
      <c r="E5" s="3">
        <v>10</v>
      </c>
      <c r="F5" s="3">
        <v>25</v>
      </c>
      <c r="G5" s="3">
        <v>50</v>
      </c>
      <c r="H5" s="3">
        <v>100</v>
      </c>
    </row>
    <row r="6" spans="1:8">
      <c r="A6" t="s">
        <v>45</v>
      </c>
      <c r="B6" s="14">
        <v>5</v>
      </c>
      <c r="C6" s="61">
        <v>7.6</v>
      </c>
      <c r="D6" s="61">
        <v>10</v>
      </c>
      <c r="E6" s="61">
        <v>11.6</v>
      </c>
      <c r="F6" s="61">
        <v>13.5</v>
      </c>
      <c r="G6" s="61">
        <v>15</v>
      </c>
      <c r="H6" s="61">
        <v>16.5</v>
      </c>
    </row>
    <row r="7" spans="1:8">
      <c r="A7" t="s">
        <v>46</v>
      </c>
      <c r="B7" s="14">
        <v>10</v>
      </c>
      <c r="C7" s="61">
        <v>11.1</v>
      </c>
      <c r="D7" s="61">
        <v>14.4</v>
      </c>
      <c r="E7" s="61">
        <v>16.7</v>
      </c>
      <c r="F7" s="61">
        <v>19.5</v>
      </c>
      <c r="G7" s="61">
        <v>21.6</v>
      </c>
      <c r="H7" s="61">
        <v>23.6</v>
      </c>
    </row>
    <row r="8" spans="1:8">
      <c r="A8" t="s">
        <v>47</v>
      </c>
      <c r="B8" s="14">
        <v>15</v>
      </c>
      <c r="C8" s="61">
        <v>13.6</v>
      </c>
      <c r="D8" s="61">
        <v>18</v>
      </c>
      <c r="E8" s="61">
        <v>20.8</v>
      </c>
      <c r="F8" s="61">
        <v>24.5</v>
      </c>
      <c r="G8" s="61">
        <v>27.2</v>
      </c>
      <c r="H8" s="61">
        <v>29.9</v>
      </c>
    </row>
    <row r="9" spans="1:8">
      <c r="A9" t="s">
        <v>48</v>
      </c>
      <c r="B9" s="14">
        <v>30</v>
      </c>
      <c r="C9" s="61">
        <v>18</v>
      </c>
      <c r="D9" s="61">
        <v>23.2</v>
      </c>
      <c r="E9" s="61">
        <v>26.7</v>
      </c>
      <c r="F9" s="61">
        <v>31.1</v>
      </c>
      <c r="G9" s="61">
        <v>34.4</v>
      </c>
      <c r="H9" s="61">
        <v>37.6</v>
      </c>
    </row>
    <row r="10" spans="1:8">
      <c r="A10" t="s">
        <v>49</v>
      </c>
      <c r="B10" s="14">
        <v>60</v>
      </c>
      <c r="C10" s="61">
        <v>22.1</v>
      </c>
      <c r="D10" s="61">
        <v>28</v>
      </c>
      <c r="E10" s="61">
        <v>31.9</v>
      </c>
      <c r="F10" s="61">
        <v>36.799999999999997</v>
      </c>
      <c r="G10" s="61">
        <v>40.5</v>
      </c>
      <c r="H10" s="61">
        <v>44.1</v>
      </c>
    </row>
    <row r="11" spans="1:8">
      <c r="A11" t="s">
        <v>50</v>
      </c>
      <c r="B11" s="14">
        <v>120</v>
      </c>
      <c r="C11" s="61">
        <v>27.1</v>
      </c>
      <c r="D11" s="61">
        <v>35.1</v>
      </c>
      <c r="E11" s="61">
        <v>40.4</v>
      </c>
      <c r="F11" s="61">
        <v>47</v>
      </c>
      <c r="G11" s="61">
        <v>52</v>
      </c>
      <c r="H11" s="61">
        <v>56.9</v>
      </c>
    </row>
    <row r="12" spans="1:8">
      <c r="A12" t="s">
        <v>51</v>
      </c>
      <c r="B12" s="14">
        <f>6*60</f>
        <v>360</v>
      </c>
      <c r="C12" s="61">
        <v>37.700000000000003</v>
      </c>
      <c r="D12" s="61">
        <v>49.1</v>
      </c>
      <c r="E12" s="61">
        <v>56.7</v>
      </c>
      <c r="F12" s="61">
        <v>66.3</v>
      </c>
      <c r="G12" s="61">
        <v>73.400000000000006</v>
      </c>
      <c r="H12" s="61">
        <v>80.5</v>
      </c>
    </row>
    <row r="13" spans="1:8">
      <c r="A13" t="s">
        <v>52</v>
      </c>
      <c r="B13" s="14">
        <f>12*60</f>
        <v>720</v>
      </c>
      <c r="C13" s="61">
        <v>44</v>
      </c>
      <c r="D13" s="61">
        <v>58.3</v>
      </c>
      <c r="E13" s="61">
        <v>67.8</v>
      </c>
      <c r="F13" s="61">
        <v>79.900000000000006</v>
      </c>
      <c r="G13" s="61">
        <v>88.8</v>
      </c>
      <c r="H13" s="61">
        <v>97.6</v>
      </c>
    </row>
    <row r="14" spans="1:8">
      <c r="A14" t="s">
        <v>53</v>
      </c>
      <c r="B14" s="14">
        <f>24*60</f>
        <v>1440</v>
      </c>
      <c r="C14" s="61">
        <v>50.1</v>
      </c>
      <c r="D14" s="61">
        <v>64.7</v>
      </c>
      <c r="E14" s="61">
        <v>74.3</v>
      </c>
      <c r="F14" s="61">
        <v>86.5</v>
      </c>
      <c r="G14" s="61">
        <v>95.5</v>
      </c>
      <c r="H14" s="61">
        <v>104.4</v>
      </c>
    </row>
    <row r="17" spans="1:8">
      <c r="A17" s="14" t="s">
        <v>69</v>
      </c>
    </row>
    <row r="18" spans="1:8">
      <c r="A18" t="s">
        <v>54</v>
      </c>
      <c r="C18" s="3">
        <v>2</v>
      </c>
      <c r="D18" s="3">
        <v>5</v>
      </c>
      <c r="E18" s="3">
        <v>10</v>
      </c>
      <c r="F18" s="3">
        <v>25</v>
      </c>
      <c r="G18" s="3">
        <v>50</v>
      </c>
      <c r="H18" s="3">
        <v>100</v>
      </c>
    </row>
    <row r="19" spans="1:8">
      <c r="A19" s="14" t="s">
        <v>45</v>
      </c>
      <c r="B19" s="14">
        <v>5</v>
      </c>
      <c r="C19" s="61">
        <v>91.6</v>
      </c>
      <c r="D19" s="61">
        <v>120</v>
      </c>
      <c r="E19" s="61">
        <v>138.80000000000001</v>
      </c>
      <c r="F19" s="61">
        <v>162.6</v>
      </c>
      <c r="G19" s="61">
        <v>180.2</v>
      </c>
      <c r="H19" s="61">
        <v>197.7</v>
      </c>
    </row>
    <row r="20" spans="1:8">
      <c r="A20" s="14" t="s">
        <v>46</v>
      </c>
      <c r="B20" s="14">
        <v>10</v>
      </c>
      <c r="C20" s="61">
        <v>66.5</v>
      </c>
      <c r="D20" s="61">
        <v>86.6</v>
      </c>
      <c r="E20" s="61">
        <v>100</v>
      </c>
      <c r="F20" s="61">
        <v>116.9</v>
      </c>
      <c r="G20" s="61">
        <v>129.4</v>
      </c>
      <c r="H20" s="61">
        <v>141.80000000000001</v>
      </c>
    </row>
    <row r="21" spans="1:8">
      <c r="A21" s="14" t="s">
        <v>47</v>
      </c>
      <c r="B21" s="14">
        <v>15</v>
      </c>
      <c r="C21" s="61">
        <v>54.4</v>
      </c>
      <c r="D21" s="61">
        <v>71.8</v>
      </c>
      <c r="E21" s="61">
        <v>83.4</v>
      </c>
      <c r="F21" s="61">
        <v>97.9</v>
      </c>
      <c r="G21" s="61">
        <v>108.7</v>
      </c>
      <c r="H21" s="61">
        <v>119.5</v>
      </c>
    </row>
    <row r="22" spans="1:8">
      <c r="A22" s="14" t="s">
        <v>48</v>
      </c>
      <c r="B22" s="14">
        <v>30</v>
      </c>
      <c r="C22" s="61">
        <v>35.9</v>
      </c>
      <c r="D22" s="61">
        <v>46.5</v>
      </c>
      <c r="E22" s="61">
        <v>53.4</v>
      </c>
      <c r="F22" s="61">
        <v>62.2</v>
      </c>
      <c r="G22" s="61">
        <v>68.8</v>
      </c>
      <c r="H22" s="61">
        <v>75.3</v>
      </c>
    </row>
    <row r="23" spans="1:8">
      <c r="A23" t="s">
        <v>49</v>
      </c>
      <c r="B23" s="14">
        <v>60</v>
      </c>
      <c r="C23" s="61">
        <v>22.1</v>
      </c>
      <c r="D23" s="61">
        <v>28</v>
      </c>
      <c r="E23" s="61">
        <v>31.9</v>
      </c>
      <c r="F23" s="61">
        <v>36.799999999999997</v>
      </c>
      <c r="G23" s="61">
        <v>40.5</v>
      </c>
      <c r="H23" s="61">
        <v>44.1</v>
      </c>
    </row>
    <row r="24" spans="1:8">
      <c r="A24" t="s">
        <v>50</v>
      </c>
      <c r="B24" s="14">
        <v>120</v>
      </c>
      <c r="C24" s="61">
        <v>13.5</v>
      </c>
      <c r="D24" s="61">
        <v>17.5</v>
      </c>
      <c r="E24" s="61">
        <v>20.2</v>
      </c>
      <c r="F24" s="61">
        <v>23.5</v>
      </c>
      <c r="G24" s="61">
        <v>26</v>
      </c>
      <c r="H24" s="61">
        <v>28.5</v>
      </c>
    </row>
    <row r="25" spans="1:8">
      <c r="A25" t="s">
        <v>51</v>
      </c>
      <c r="B25" s="14">
        <f>6*60</f>
        <v>360</v>
      </c>
      <c r="C25" s="61">
        <v>6.3</v>
      </c>
      <c r="D25" s="61">
        <v>8.1999999999999993</v>
      </c>
      <c r="E25" s="61">
        <v>9.5</v>
      </c>
      <c r="F25" s="61">
        <v>11.1</v>
      </c>
      <c r="G25" s="61">
        <v>12.2</v>
      </c>
      <c r="H25" s="61">
        <v>13.4</v>
      </c>
    </row>
    <row r="26" spans="1:8">
      <c r="A26" t="s">
        <v>52</v>
      </c>
      <c r="B26" s="14">
        <f>12*60</f>
        <v>720</v>
      </c>
      <c r="C26" s="61">
        <v>3.7</v>
      </c>
      <c r="D26" s="61">
        <v>4.9000000000000004</v>
      </c>
      <c r="E26" s="61">
        <v>5.7</v>
      </c>
      <c r="F26" s="61">
        <v>6.7</v>
      </c>
      <c r="G26" s="61">
        <v>7.4</v>
      </c>
      <c r="H26" s="61">
        <v>8.1</v>
      </c>
    </row>
    <row r="27" spans="1:8">
      <c r="A27" t="s">
        <v>53</v>
      </c>
      <c r="B27" s="14">
        <f>24*60</f>
        <v>1440</v>
      </c>
      <c r="C27" s="61">
        <v>2.1</v>
      </c>
      <c r="D27" s="61">
        <v>2.7</v>
      </c>
      <c r="E27" s="61">
        <v>3.1</v>
      </c>
      <c r="F27" s="61">
        <v>3.6</v>
      </c>
      <c r="G27" s="61">
        <v>4</v>
      </c>
      <c r="H27" s="61">
        <v>4.4000000000000004</v>
      </c>
    </row>
    <row r="30" spans="1:8">
      <c r="A30" t="s">
        <v>85</v>
      </c>
    </row>
    <row r="31" spans="1:8">
      <c r="A31" t="s">
        <v>86</v>
      </c>
    </row>
    <row r="32" spans="1:8">
      <c r="A32" t="s">
        <v>87</v>
      </c>
    </row>
    <row r="34" spans="1:7">
      <c r="A34" s="14" t="s">
        <v>88</v>
      </c>
      <c r="B34" s="14">
        <v>2</v>
      </c>
      <c r="C34" s="14">
        <v>5</v>
      </c>
      <c r="D34" s="14">
        <v>10</v>
      </c>
      <c r="E34" s="14">
        <v>25</v>
      </c>
      <c r="F34" s="14">
        <v>50</v>
      </c>
      <c r="G34" s="14">
        <v>100</v>
      </c>
    </row>
    <row r="35" spans="1:7">
      <c r="A35" s="14" t="s">
        <v>89</v>
      </c>
      <c r="B35" s="62">
        <v>32.9</v>
      </c>
      <c r="C35" s="62">
        <v>42.9</v>
      </c>
      <c r="D35" s="62">
        <v>49.5</v>
      </c>
      <c r="E35" s="62">
        <v>57.9</v>
      </c>
      <c r="F35" s="62">
        <v>64.099999999999994</v>
      </c>
      <c r="G35" s="62">
        <v>70.3</v>
      </c>
    </row>
    <row r="36" spans="1:7">
      <c r="A36" s="14" t="s">
        <v>90</v>
      </c>
      <c r="B36" s="62">
        <v>31.7</v>
      </c>
      <c r="C36" s="62">
        <v>41.6</v>
      </c>
      <c r="D36" s="62">
        <v>48.1</v>
      </c>
      <c r="E36" s="62">
        <v>56.4</v>
      </c>
      <c r="F36" s="62">
        <v>62.5</v>
      </c>
      <c r="G36" s="62">
        <v>68.599999999999994</v>
      </c>
    </row>
    <row r="37" spans="1:7">
      <c r="A37" s="14" t="s">
        <v>91</v>
      </c>
      <c r="B37" s="62">
        <v>6.8</v>
      </c>
      <c r="C37" s="62">
        <v>8.6999999999999993</v>
      </c>
      <c r="D37" s="62">
        <v>9.9</v>
      </c>
      <c r="E37" s="62">
        <v>11.4</v>
      </c>
      <c r="F37" s="62">
        <v>12.6</v>
      </c>
      <c r="G37" s="62">
        <v>13.7</v>
      </c>
    </row>
    <row r="38" spans="1:7">
      <c r="A38" s="14" t="s">
        <v>92</v>
      </c>
      <c r="B38" s="62">
        <v>20.3</v>
      </c>
      <c r="C38" s="62">
        <v>26.4</v>
      </c>
      <c r="D38" s="62">
        <v>30.4</v>
      </c>
      <c r="E38" s="62">
        <v>35.5</v>
      </c>
      <c r="F38" s="62">
        <v>39.299999999999997</v>
      </c>
      <c r="G38" s="62">
        <v>43</v>
      </c>
    </row>
    <row r="39" spans="1:7">
      <c r="A39" s="14" t="s">
        <v>93</v>
      </c>
      <c r="B39" s="62">
        <v>-0.67700000000000005</v>
      </c>
      <c r="C39" s="62">
        <v>-0.67700000000000005</v>
      </c>
      <c r="D39" s="62">
        <v>-0.67800000000000005</v>
      </c>
      <c r="E39" s="62">
        <v>-0.67800000000000005</v>
      </c>
      <c r="F39" s="62">
        <v>-0.67800000000000005</v>
      </c>
      <c r="G39" s="62">
        <v>-0.67800000000000005</v>
      </c>
    </row>
    <row r="40" spans="1:7">
      <c r="A40" s="14" t="s">
        <v>94</v>
      </c>
      <c r="B40" s="62">
        <v>7.8</v>
      </c>
      <c r="C40" s="62">
        <v>7.4</v>
      </c>
      <c r="D40" s="62">
        <v>7.2</v>
      </c>
      <c r="E40" s="62">
        <v>7.2</v>
      </c>
      <c r="F40" s="62">
        <v>7.2</v>
      </c>
      <c r="G40" s="62">
        <v>7.2</v>
      </c>
    </row>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D178"/>
  <sheetViews>
    <sheetView topLeftCell="A16" zoomScaleNormal="100" workbookViewId="0">
      <selection activeCell="E27" sqref="E27"/>
    </sheetView>
  </sheetViews>
  <sheetFormatPr defaultRowHeight="12.75"/>
  <cols>
    <col min="1" max="1" width="12.140625" customWidth="1"/>
    <col min="2" max="5" width="9.7109375" customWidth="1"/>
    <col min="6" max="6" width="2.85546875" style="14" customWidth="1"/>
    <col min="7" max="7" width="12.140625" customWidth="1"/>
    <col min="8" max="10" width="9.7109375" customWidth="1"/>
    <col min="11" max="11" width="9.7109375" style="14" customWidth="1"/>
    <col min="12" max="12" width="2.85546875" style="14" customWidth="1"/>
    <col min="17" max="17" width="12.42578125" bestFit="1" customWidth="1"/>
    <col min="18" max="18" width="9.7109375" style="14" customWidth="1"/>
    <col min="22" max="22" width="9.140625" style="14"/>
    <col min="30" max="30" width="9.140625" style="14"/>
  </cols>
  <sheetData>
    <row r="1" spans="1:18" s="14" customFormat="1" ht="15.75">
      <c r="A1" s="143" t="s">
        <v>71</v>
      </c>
    </row>
    <row r="2" spans="1:18" s="14" customFormat="1" ht="13.5" thickBot="1">
      <c r="C2"/>
      <c r="D2"/>
    </row>
    <row r="3" spans="1:18" s="14" customFormat="1" ht="13.5" thickBot="1">
      <c r="A3" s="14" t="s">
        <v>73</v>
      </c>
      <c r="C3" s="19">
        <v>100</v>
      </c>
      <c r="D3" s="14" t="s">
        <v>74</v>
      </c>
      <c r="E3" s="20" t="str">
        <f>IF(C3=2,"",IF(C3=5,"",IF(C3=10,"",IF(C3=25,"",IF(C3=50,"",IF(C3=100,"","Select Another Value"))))))</f>
        <v/>
      </c>
      <c r="F3" s="20"/>
      <c r="G3" s="232" t="s">
        <v>99</v>
      </c>
      <c r="H3" s="232"/>
      <c r="I3" s="232"/>
      <c r="J3" s="232"/>
      <c r="K3" s="115"/>
      <c r="L3" s="135"/>
    </row>
    <row r="4" spans="1:18" s="14" customFormat="1">
      <c r="A4" s="43" t="s">
        <v>76</v>
      </c>
      <c r="G4" s="21" t="s">
        <v>80</v>
      </c>
      <c r="I4" s="3">
        <f>VLOOKUP(C6,'Step 1 IDF Curves'!B18:H27,MATCH('Step 2 Inflow Hydrograph'!C3,'Step 1 IDF Curves'!C5:H5,0)+1,FALSE)</f>
        <v>44.1</v>
      </c>
      <c r="J4" s="21" t="s">
        <v>62</v>
      </c>
      <c r="K4" s="21"/>
      <c r="L4" s="21"/>
    </row>
    <row r="5" spans="1:18" s="14" customFormat="1" ht="13.5" thickBot="1">
      <c r="G5" s="14" t="s">
        <v>83</v>
      </c>
      <c r="I5" s="3">
        <f>VLOOKUP(C6,'Step 1 IDF Curves'!B5:H14,MATCH('Step 2 Inflow Hydrograph'!C3,'Step 1 IDF Curves'!C18:H18,0)+1,FALSE)</f>
        <v>44.1</v>
      </c>
      <c r="J5" s="14" t="s">
        <v>41</v>
      </c>
      <c r="M5" s="53" t="s">
        <v>107</v>
      </c>
    </row>
    <row r="6" spans="1:18" s="14" customFormat="1" ht="13.5" thickBot="1">
      <c r="A6" s="14" t="s">
        <v>72</v>
      </c>
      <c r="C6" s="19">
        <v>60</v>
      </c>
      <c r="D6" s="21" t="s">
        <v>75</v>
      </c>
      <c r="E6" s="20" t="str">
        <f>IF(C6=5,"",IF(C6=10,"",IF(C6=15,"",IF(C6=30,"",IF(C6=60,"",IF(C6=120,"",IF(C6=360,"",IF(C6=720,"",IF(C6=1440,"","Select Another Value")))))))))</f>
        <v/>
      </c>
      <c r="F6" s="20"/>
      <c r="M6" s="21" t="s">
        <v>116</v>
      </c>
    </row>
    <row r="7" spans="1:18" s="14" customFormat="1" ht="15.75">
      <c r="A7" s="43" t="s">
        <v>152</v>
      </c>
      <c r="C7"/>
      <c r="D7"/>
      <c r="G7" s="39" t="s">
        <v>100</v>
      </c>
      <c r="M7" s="14" t="s">
        <v>108</v>
      </c>
    </row>
    <row r="8" spans="1:18" s="14" customFormat="1" ht="13.5" thickBot="1">
      <c r="M8" s="14" t="s">
        <v>109</v>
      </c>
    </row>
    <row r="9" spans="1:18" s="14" customFormat="1" ht="16.5" thickBot="1">
      <c r="A9" s="21" t="s">
        <v>81</v>
      </c>
      <c r="C9" s="19">
        <v>1</v>
      </c>
      <c r="D9" s="21" t="s">
        <v>75</v>
      </c>
      <c r="E9" s="20" t="str">
        <f>IF(C9=1,"",IF(C9=2,"",IF(C9=5,"",IF(C9=10,"",IF(C9=15,"","Select Another Value")))))</f>
        <v/>
      </c>
      <c r="F9" s="20"/>
      <c r="G9" s="39" t="s">
        <v>101</v>
      </c>
      <c r="M9" s="14" t="s">
        <v>111</v>
      </c>
    </row>
    <row r="10" spans="1:18" s="14" customFormat="1">
      <c r="A10" s="43" t="s">
        <v>82</v>
      </c>
      <c r="G10" s="24" t="s">
        <v>102</v>
      </c>
      <c r="H10" s="1">
        <f>HLOOKUP(C3,'Step 1 IDF Curves'!B34:G40,5,FALSE)</f>
        <v>43</v>
      </c>
      <c r="J10" s="10"/>
      <c r="K10" s="10"/>
      <c r="L10" s="10"/>
      <c r="M10" s="14" t="s">
        <v>110</v>
      </c>
    </row>
    <row r="11" spans="1:18" s="14" customFormat="1">
      <c r="B11" s="22"/>
      <c r="G11" s="24" t="s">
        <v>103</v>
      </c>
      <c r="H11" s="1">
        <f>HLOOKUP(C3,'Step 1 IDF Curves'!B34:G40,6,FALSE)</f>
        <v>-0.67800000000000005</v>
      </c>
      <c r="J11" s="37"/>
      <c r="K11" s="37"/>
      <c r="L11" s="37"/>
      <c r="M11" s="14" t="s">
        <v>112</v>
      </c>
      <c r="O11" s="21"/>
      <c r="Q11" s="21"/>
      <c r="R11" s="21"/>
    </row>
    <row r="12" spans="1:18" s="14" customFormat="1">
      <c r="B12" s="22"/>
      <c r="G12" s="10"/>
      <c r="H12" s="38"/>
      <c r="J12" s="10"/>
      <c r="K12" s="10"/>
      <c r="L12" s="10"/>
      <c r="O12" s="21"/>
      <c r="Q12" s="21"/>
      <c r="R12" s="21"/>
    </row>
    <row r="13" spans="1:18" s="14" customFormat="1">
      <c r="A13" s="5" t="s">
        <v>77</v>
      </c>
      <c r="D13"/>
    </row>
    <row r="14" spans="1:18" s="14" customFormat="1">
      <c r="D14"/>
    </row>
    <row r="15" spans="1:18" s="14" customFormat="1" ht="13.5" thickBot="1">
      <c r="A15" s="5" t="s">
        <v>64</v>
      </c>
      <c r="B15"/>
      <c r="C15"/>
      <c r="D15"/>
      <c r="G15" s="5" t="s">
        <v>67</v>
      </c>
      <c r="H15"/>
      <c r="I15"/>
      <c r="J15"/>
      <c r="M15" s="53" t="s">
        <v>117</v>
      </c>
    </row>
    <row r="16" spans="1:18" s="14" customFormat="1" ht="13.5" thickBot="1">
      <c r="A16" s="14" t="s">
        <v>70</v>
      </c>
      <c r="C16" s="42">
        <v>2</v>
      </c>
      <c r="D16" s="14" t="s">
        <v>43</v>
      </c>
      <c r="E16"/>
      <c r="G16" t="s">
        <v>42</v>
      </c>
      <c r="H16"/>
      <c r="I16" s="42">
        <f>+C16</f>
        <v>2</v>
      </c>
      <c r="J16" t="s">
        <v>43</v>
      </c>
      <c r="M16" s="21" t="s">
        <v>115</v>
      </c>
      <c r="O16"/>
    </row>
    <row r="17" spans="1:23" s="14" customFormat="1" ht="5.0999999999999996" customHeight="1" thickBot="1">
      <c r="C17" s="36"/>
      <c r="I17" s="36"/>
    </row>
    <row r="18" spans="1:23" s="14" customFormat="1" ht="13.5" thickBot="1">
      <c r="A18" t="s">
        <v>65</v>
      </c>
      <c r="B18"/>
      <c r="C18" s="64">
        <v>0.2</v>
      </c>
      <c r="D18"/>
      <c r="E18"/>
      <c r="G18" s="21" t="s">
        <v>44</v>
      </c>
      <c r="H18"/>
      <c r="I18" s="42">
        <v>0.5</v>
      </c>
      <c r="J18"/>
      <c r="M18" s="21" t="s">
        <v>118</v>
      </c>
      <c r="O18"/>
    </row>
    <row r="19" spans="1:23" s="14" customFormat="1" ht="5.0999999999999996" customHeight="1" thickBot="1">
      <c r="C19" s="36"/>
      <c r="G19" s="21"/>
      <c r="I19" s="36"/>
    </row>
    <row r="20" spans="1:23" s="14" customFormat="1" ht="13.5" thickBot="1">
      <c r="A20" t="s">
        <v>61</v>
      </c>
      <c r="B20"/>
      <c r="C20" s="42">
        <v>20</v>
      </c>
      <c r="D20" t="s">
        <v>30</v>
      </c>
      <c r="G20" t="s">
        <v>61</v>
      </c>
      <c r="I20" s="42">
        <v>15</v>
      </c>
      <c r="J20" s="14" t="s">
        <v>30</v>
      </c>
    </row>
    <row r="21" spans="1:23" s="14" customFormat="1" ht="5.0999999999999996" customHeight="1">
      <c r="C21" s="36"/>
      <c r="I21" s="36"/>
    </row>
    <row r="22" spans="1:23" s="14" customFormat="1">
      <c r="A22" s="21" t="s">
        <v>78</v>
      </c>
      <c r="B22"/>
      <c r="C22" s="34">
        <f>H10*(C20/60)^H11</f>
        <v>90.564223178934199</v>
      </c>
      <c r="D22" s="14" t="s">
        <v>62</v>
      </c>
      <c r="E22"/>
      <c r="G22" s="21" t="s">
        <v>78</v>
      </c>
      <c r="I22" s="34">
        <f>H10*(I20/60)^H11</f>
        <v>110.06902759061047</v>
      </c>
      <c r="J22" s="14" t="s">
        <v>62</v>
      </c>
      <c r="M22"/>
      <c r="O22"/>
    </row>
    <row r="23" spans="1:23" s="14" customFormat="1" ht="5.0999999999999996" customHeight="1" thickBot="1">
      <c r="A23" s="21"/>
      <c r="C23" s="34"/>
      <c r="G23" s="21"/>
      <c r="I23" s="34"/>
    </row>
    <row r="24" spans="1:23" s="14" customFormat="1" ht="13.5" thickBot="1">
      <c r="A24" t="s">
        <v>66</v>
      </c>
      <c r="B24"/>
      <c r="C24" s="41">
        <f>0.00278*C18*C22*C16</f>
        <v>0.10070741617497482</v>
      </c>
      <c r="D24" t="s">
        <v>29</v>
      </c>
      <c r="E24"/>
      <c r="G24" s="21" t="s">
        <v>79</v>
      </c>
      <c r="H24"/>
      <c r="I24" s="41">
        <f>0.00278*I18*I22*I16</f>
        <v>0.30599189670189714</v>
      </c>
      <c r="J24" s="23" t="s">
        <v>29</v>
      </c>
      <c r="K24" s="23"/>
      <c r="L24" s="23"/>
      <c r="M24"/>
      <c r="O24"/>
    </row>
    <row r="25" spans="1:23" s="14" customFormat="1" ht="5.0999999999999996" customHeight="1">
      <c r="C25" s="66"/>
      <c r="G25" s="21"/>
      <c r="I25" s="66"/>
      <c r="J25" s="23"/>
      <c r="K25" s="23"/>
      <c r="L25" s="23"/>
    </row>
    <row r="26" spans="1:23" s="14" customFormat="1">
      <c r="A26" s="57" t="s">
        <v>155</v>
      </c>
      <c r="C26" s="12">
        <f>0.00278*C18*$I4*C16</f>
        <v>4.9039199999999998E-2</v>
      </c>
      <c r="D26" s="57" t="s">
        <v>29</v>
      </c>
      <c r="G26" s="57" t="s">
        <v>155</v>
      </c>
      <c r="I26" s="12">
        <f>0.00278*I18*$I4*I16</f>
        <v>0.122598</v>
      </c>
      <c r="J26" s="57" t="s">
        <v>29</v>
      </c>
      <c r="K26" s="57"/>
      <c r="L26" s="57"/>
    </row>
    <row r="27" spans="1:23" s="14" customFormat="1">
      <c r="A27" s="16" t="s">
        <v>84</v>
      </c>
      <c r="B27" s="17"/>
      <c r="C27" s="17"/>
      <c r="D27" s="17"/>
      <c r="G27" s="243" t="s">
        <v>84</v>
      </c>
      <c r="H27" s="243"/>
      <c r="I27" s="243"/>
      <c r="J27" s="243"/>
      <c r="K27" s="175"/>
      <c r="L27" s="16"/>
    </row>
    <row r="28" spans="1:23" s="14" customFormat="1">
      <c r="A28" s="25" t="str">
        <f>IF(C20&lt;=C6,"","Warning!  Tc is Greater than Storm Duration")</f>
        <v/>
      </c>
      <c r="B28" s="26"/>
      <c r="C28" s="27"/>
      <c r="D28" s="28"/>
      <c r="E28"/>
      <c r="G28" s="32" t="str">
        <f>IF(I20&lt;=C6,"","Warning! Tc is Greater than Storm Duration")</f>
        <v/>
      </c>
      <c r="H28" s="26"/>
      <c r="I28" s="26"/>
      <c r="J28" s="28"/>
      <c r="K28" s="33"/>
      <c r="L28" s="33"/>
      <c r="M28"/>
      <c r="N28"/>
      <c r="O28"/>
    </row>
    <row r="29" spans="1:23" s="14" customFormat="1">
      <c r="A29" s="29" t="str">
        <f>IF(C9&lt;C20,"","Warning! Time Step is Greater than TC")</f>
        <v/>
      </c>
      <c r="B29" s="30"/>
      <c r="C29" s="30"/>
      <c r="D29" s="31"/>
      <c r="G29" s="29" t="str">
        <f>IF(C9&lt;I20,"","Warning! Time Step is Greater than Tc")</f>
        <v/>
      </c>
      <c r="H29" s="30"/>
      <c r="I29" s="30"/>
      <c r="J29" s="31"/>
      <c r="K29" s="33"/>
      <c r="L29" s="33"/>
    </row>
    <row r="30" spans="1:23" s="14" customFormat="1">
      <c r="E30"/>
      <c r="M30" s="33"/>
      <c r="N30"/>
      <c r="O30"/>
      <c r="S30" s="54" t="s">
        <v>113</v>
      </c>
    </row>
    <row r="31" spans="1:23" s="14" customFormat="1" ht="15.75">
      <c r="A31" s="39" t="s">
        <v>119</v>
      </c>
      <c r="M31" s="33"/>
      <c r="S31" s="54" t="s">
        <v>114</v>
      </c>
    </row>
    <row r="32" spans="1:23" s="14" customFormat="1">
      <c r="B32" s="9" t="s">
        <v>55</v>
      </c>
      <c r="M32" s="33"/>
      <c r="V32" s="232" t="s">
        <v>186</v>
      </c>
      <c r="W32" s="233"/>
    </row>
    <row r="33" spans="1:23" s="14" customFormat="1">
      <c r="D33" t="s">
        <v>56</v>
      </c>
      <c r="M33" s="53" t="s">
        <v>167</v>
      </c>
      <c r="T33" s="115" t="s">
        <v>175</v>
      </c>
      <c r="U33" s="115" t="s">
        <v>176</v>
      </c>
      <c r="V33" s="132" t="s">
        <v>175</v>
      </c>
      <c r="W33" s="132" t="s">
        <v>176</v>
      </c>
    </row>
    <row r="34" spans="1:23" s="14" customFormat="1" ht="15" thickBot="1">
      <c r="D34" s="18" t="s">
        <v>57</v>
      </c>
      <c r="Q34" s="115" t="s">
        <v>168</v>
      </c>
      <c r="R34" s="123" t="s">
        <v>178</v>
      </c>
      <c r="S34" s="115" t="s">
        <v>169</v>
      </c>
      <c r="T34" s="115" t="s">
        <v>154</v>
      </c>
      <c r="U34" s="115" t="s">
        <v>154</v>
      </c>
      <c r="V34" s="132" t="s">
        <v>154</v>
      </c>
      <c r="W34" s="132" t="s">
        <v>154</v>
      </c>
    </row>
    <row r="35" spans="1:23" s="14" customFormat="1" ht="16.5" thickBot="1">
      <c r="D35" s="18" t="s">
        <v>58</v>
      </c>
      <c r="M35" s="118" t="s">
        <v>171</v>
      </c>
      <c r="N35" s="119">
        <f>+I20*2/3</f>
        <v>10</v>
      </c>
      <c r="O35" s="57" t="s">
        <v>30</v>
      </c>
      <c r="Q35" s="14">
        <v>0</v>
      </c>
      <c r="R35" s="14">
        <f t="shared" ref="R35:R62" si="0">+Q35*N$35</f>
        <v>0</v>
      </c>
      <c r="S35" s="14">
        <v>0</v>
      </c>
      <c r="T35" s="11">
        <f t="shared" ref="T35:T52" si="1">+S35*N$39</f>
        <v>0</v>
      </c>
      <c r="U35" s="11">
        <f t="shared" ref="U35:U52" si="2">+S35*N$41</f>
        <v>0</v>
      </c>
      <c r="V35" s="11">
        <v>0</v>
      </c>
      <c r="W35" s="14">
        <v>0</v>
      </c>
    </row>
    <row r="36" spans="1:23" s="14" customFormat="1">
      <c r="D36" s="18" t="s">
        <v>60</v>
      </c>
      <c r="Q36" s="14">
        <v>0.1</v>
      </c>
      <c r="R36" s="14">
        <f t="shared" si="0"/>
        <v>1</v>
      </c>
      <c r="S36" s="14">
        <v>0.03</v>
      </c>
      <c r="T36" s="11">
        <f t="shared" si="1"/>
        <v>4.8337150540435653E-3</v>
      </c>
      <c r="U36" s="11">
        <f t="shared" si="2"/>
        <v>1.2084287635108914E-2</v>
      </c>
      <c r="V36" s="11">
        <f>+T36*$P$43</f>
        <v>6.5852839063724952E-3</v>
      </c>
      <c r="W36" s="11">
        <f>+U36*$P$43</f>
        <v>1.6463209765931238E-2</v>
      </c>
    </row>
    <row r="37" spans="1:23" s="14" customFormat="1">
      <c r="A37"/>
      <c r="B37"/>
      <c r="C37"/>
      <c r="D37" s="18" t="s">
        <v>59</v>
      </c>
      <c r="E37"/>
      <c r="M37" s="118" t="s">
        <v>185</v>
      </c>
      <c r="N37" s="6">
        <f>H10*(N35/60)^H11</f>
        <v>144.89553519315245</v>
      </c>
      <c r="O37" s="57" t="s">
        <v>62</v>
      </c>
      <c r="Q37" s="14">
        <v>0.2</v>
      </c>
      <c r="R37" s="14">
        <f t="shared" si="0"/>
        <v>2</v>
      </c>
      <c r="S37" s="14">
        <v>0.1</v>
      </c>
      <c r="T37" s="11">
        <f t="shared" si="1"/>
        <v>1.6112383513478552E-2</v>
      </c>
      <c r="U37" s="11">
        <f t="shared" si="2"/>
        <v>4.0280958783696384E-2</v>
      </c>
      <c r="V37" s="11">
        <f t="shared" ref="V37:V62" si="3">+T37*$P$43</f>
        <v>2.1950946354574986E-2</v>
      </c>
      <c r="W37" s="11">
        <f t="shared" ref="W37:W62" si="4">+U37*$P$43</f>
        <v>5.4877365886437469E-2</v>
      </c>
    </row>
    <row r="38" spans="1:23" s="14" customFormat="1" ht="13.5" thickBot="1">
      <c r="G38" s="35"/>
      <c r="H38" s="33"/>
      <c r="I38" s="33"/>
      <c r="J38" s="33"/>
      <c r="K38" s="33"/>
      <c r="L38" s="33"/>
      <c r="M38" s="117" t="s">
        <v>175</v>
      </c>
      <c r="Q38" s="14">
        <v>0.3</v>
      </c>
      <c r="R38" s="14">
        <f t="shared" si="0"/>
        <v>3</v>
      </c>
      <c r="S38" s="14">
        <v>0.19</v>
      </c>
      <c r="T38" s="11">
        <f t="shared" si="1"/>
        <v>3.0613528675609247E-2</v>
      </c>
      <c r="U38" s="11">
        <f t="shared" si="2"/>
        <v>7.6533821689023118E-2</v>
      </c>
      <c r="V38" s="11">
        <f t="shared" si="3"/>
        <v>4.1706798073692465E-2</v>
      </c>
      <c r="W38" s="11">
        <f t="shared" si="4"/>
        <v>0.10426699518423117</v>
      </c>
    </row>
    <row r="39" spans="1:23" s="14" customFormat="1" ht="16.5" thickBot="1">
      <c r="A39" s="13" t="s">
        <v>106</v>
      </c>
      <c r="G39" s="35"/>
      <c r="H39" s="33"/>
      <c r="I39" s="33"/>
      <c r="J39" s="33"/>
      <c r="K39" s="33"/>
      <c r="L39" s="33"/>
      <c r="M39" s="118" t="s">
        <v>172</v>
      </c>
      <c r="N39" s="41">
        <f>0.00278*C18*N37*C16</f>
        <v>0.16112383513478551</v>
      </c>
      <c r="O39" s="57" t="s">
        <v>29</v>
      </c>
      <c r="Q39" s="14">
        <v>0.4</v>
      </c>
      <c r="R39" s="14">
        <f t="shared" si="0"/>
        <v>4</v>
      </c>
      <c r="S39" s="14">
        <v>0.31</v>
      </c>
      <c r="T39" s="11">
        <f t="shared" si="1"/>
        <v>4.9948388891783504E-2</v>
      </c>
      <c r="U39" s="11">
        <f t="shared" si="2"/>
        <v>0.12487097222945878</v>
      </c>
      <c r="V39" s="11">
        <f t="shared" si="3"/>
        <v>6.8047933699182439E-2</v>
      </c>
      <c r="W39" s="11">
        <f t="shared" si="4"/>
        <v>0.17011983424795613</v>
      </c>
    </row>
    <row r="40" spans="1:23" s="14" customFormat="1" ht="13.5" thickBot="1">
      <c r="A40" s="5"/>
      <c r="G40" s="35"/>
      <c r="H40" s="33"/>
      <c r="I40" s="33"/>
      <c r="J40" s="33"/>
      <c r="K40" s="33"/>
      <c r="L40" s="33"/>
      <c r="M40" s="121" t="s">
        <v>176</v>
      </c>
      <c r="Q40" s="14">
        <v>0.5</v>
      </c>
      <c r="R40" s="14">
        <f t="shared" si="0"/>
        <v>5</v>
      </c>
      <c r="S40" s="14">
        <v>0.47</v>
      </c>
      <c r="T40" s="11">
        <f t="shared" si="1"/>
        <v>7.5728202513349191E-2</v>
      </c>
      <c r="U40" s="11">
        <f t="shared" si="2"/>
        <v>0.18932050628337296</v>
      </c>
      <c r="V40" s="11">
        <f t="shared" si="3"/>
        <v>0.10316944786650242</v>
      </c>
      <c r="W40" s="11">
        <f t="shared" si="4"/>
        <v>0.25792361966625604</v>
      </c>
    </row>
    <row r="41" spans="1:23" s="14" customFormat="1" ht="13.5" thickBot="1">
      <c r="A41" s="239" t="s">
        <v>64</v>
      </c>
      <c r="B41" s="240"/>
      <c r="C41" s="240"/>
      <c r="D41" s="240"/>
      <c r="E41" s="241"/>
      <c r="G41" s="236" t="s">
        <v>67</v>
      </c>
      <c r="H41" s="237"/>
      <c r="I41" s="237"/>
      <c r="J41" s="237"/>
      <c r="K41" s="238"/>
      <c r="L41" s="144"/>
      <c r="M41" s="118" t="s">
        <v>172</v>
      </c>
      <c r="N41" s="41">
        <f>0.00278*I18*N37*I16</f>
        <v>0.4028095878369638</v>
      </c>
      <c r="O41" s="57" t="s">
        <v>29</v>
      </c>
      <c r="Q41" s="14">
        <v>0.6</v>
      </c>
      <c r="R41" s="14">
        <f t="shared" si="0"/>
        <v>6</v>
      </c>
      <c r="S41" s="14">
        <v>0.66</v>
      </c>
      <c r="T41" s="11">
        <f t="shared" si="1"/>
        <v>0.10634173118895844</v>
      </c>
      <c r="U41" s="11">
        <f t="shared" si="2"/>
        <v>0.26585432797239611</v>
      </c>
      <c r="V41" s="11">
        <f t="shared" si="3"/>
        <v>0.14487624594019491</v>
      </c>
      <c r="W41" s="11">
        <f t="shared" si="4"/>
        <v>0.36219061485048726</v>
      </c>
    </row>
    <row r="42" spans="1:23" s="14" customFormat="1">
      <c r="A42" s="14" t="s">
        <v>96</v>
      </c>
      <c r="D42" s="3">
        <f>+C16*10*I5</f>
        <v>882</v>
      </c>
      <c r="G42" s="14" t="s">
        <v>96</v>
      </c>
      <c r="J42" s="3">
        <f>+I16*10*I5</f>
        <v>882</v>
      </c>
      <c r="K42" s="115"/>
      <c r="L42" s="135"/>
      <c r="Q42" s="14">
        <v>0.7</v>
      </c>
      <c r="R42" s="14">
        <f t="shared" si="0"/>
        <v>7</v>
      </c>
      <c r="S42" s="14">
        <v>0.82</v>
      </c>
      <c r="T42" s="11">
        <f t="shared" si="1"/>
        <v>0.1321215448105241</v>
      </c>
      <c r="U42" s="11">
        <f t="shared" si="2"/>
        <v>0.33030386202631029</v>
      </c>
      <c r="V42" s="11">
        <f t="shared" si="3"/>
        <v>0.17999776010751484</v>
      </c>
      <c r="W42" s="11">
        <f t="shared" si="4"/>
        <v>0.44999440026878718</v>
      </c>
    </row>
    <row r="43" spans="1:23" s="14" customFormat="1">
      <c r="A43" s="21" t="s">
        <v>105</v>
      </c>
      <c r="D43" s="55">
        <f>+D42*C18</f>
        <v>176.4</v>
      </c>
      <c r="G43" s="21" t="s">
        <v>105</v>
      </c>
      <c r="J43" s="55">
        <f>+J42*I18</f>
        <v>441</v>
      </c>
      <c r="K43" s="55"/>
      <c r="L43" s="55"/>
      <c r="M43" s="57" t="s">
        <v>190</v>
      </c>
      <c r="P43" s="136">
        <f>+J43/J47</f>
        <v>1.3623649372678026</v>
      </c>
      <c r="Q43" s="14">
        <v>0.8</v>
      </c>
      <c r="R43" s="14">
        <f t="shared" si="0"/>
        <v>8</v>
      </c>
      <c r="S43" s="14">
        <v>0.93</v>
      </c>
      <c r="T43" s="11">
        <f t="shared" si="1"/>
        <v>0.14984516667535053</v>
      </c>
      <c r="U43" s="11">
        <f t="shared" si="2"/>
        <v>0.37461291668837637</v>
      </c>
      <c r="V43" s="11">
        <f t="shared" si="3"/>
        <v>0.20414380109754734</v>
      </c>
      <c r="W43" s="11">
        <f t="shared" si="4"/>
        <v>0.51035950274386843</v>
      </c>
    </row>
    <row r="44" spans="1:23" s="14" customFormat="1">
      <c r="A44" s="40" t="s">
        <v>104</v>
      </c>
      <c r="G44" s="40" t="s">
        <v>104</v>
      </c>
      <c r="M44" s="33"/>
      <c r="N44" s="14" t="str">
        <f>(ROUND(J43,1)&amp;" / "&amp;ROUND(J47,1))</f>
        <v>441 / 323.7</v>
      </c>
      <c r="Q44" s="14">
        <v>0.9</v>
      </c>
      <c r="R44" s="14">
        <f t="shared" si="0"/>
        <v>9</v>
      </c>
      <c r="S44" s="14">
        <v>0.99</v>
      </c>
      <c r="T44" s="11">
        <f t="shared" si="1"/>
        <v>0.15951259678343765</v>
      </c>
      <c r="U44" s="11">
        <f t="shared" si="2"/>
        <v>0.39878149195859414</v>
      </c>
      <c r="V44" s="11">
        <f t="shared" si="3"/>
        <v>0.21731436891029232</v>
      </c>
      <c r="W44" s="11">
        <f t="shared" si="4"/>
        <v>0.5432859222757308</v>
      </c>
    </row>
    <row r="45" spans="1:23" s="14" customFormat="1" ht="12.75" customHeight="1">
      <c r="A45" s="40"/>
      <c r="E45" s="242" t="s">
        <v>189</v>
      </c>
      <c r="G45" s="40"/>
      <c r="K45" s="242" t="s">
        <v>189</v>
      </c>
      <c r="M45" s="33"/>
      <c r="Q45" s="14">
        <v>1</v>
      </c>
      <c r="R45" s="14">
        <f t="shared" si="0"/>
        <v>10</v>
      </c>
      <c r="S45" s="14">
        <v>1</v>
      </c>
      <c r="T45" s="11">
        <f t="shared" si="1"/>
        <v>0.16112383513478551</v>
      </c>
      <c r="U45" s="11">
        <f t="shared" si="2"/>
        <v>0.4028095878369638</v>
      </c>
      <c r="V45" s="11">
        <f t="shared" si="3"/>
        <v>0.21950946354574982</v>
      </c>
      <c r="W45" s="11">
        <f t="shared" si="4"/>
        <v>0.54877365886437457</v>
      </c>
    </row>
    <row r="46" spans="1:23" s="14" customFormat="1">
      <c r="B46" s="5" t="s">
        <v>95</v>
      </c>
      <c r="C46" s="5" t="s">
        <v>177</v>
      </c>
      <c r="D46" s="115" t="s">
        <v>174</v>
      </c>
      <c r="E46" s="242"/>
      <c r="F46" s="135"/>
      <c r="H46" s="5" t="s">
        <v>95</v>
      </c>
      <c r="I46" s="5" t="s">
        <v>177</v>
      </c>
      <c r="J46" s="115" t="s">
        <v>174</v>
      </c>
      <c r="K46" s="242"/>
      <c r="L46" s="135"/>
      <c r="Q46" s="14">
        <v>1.1000000000000001</v>
      </c>
      <c r="R46" s="14">
        <f t="shared" si="0"/>
        <v>11</v>
      </c>
      <c r="S46" s="14">
        <v>0.99</v>
      </c>
      <c r="T46" s="11">
        <f t="shared" si="1"/>
        <v>0.15951259678343765</v>
      </c>
      <c r="U46" s="11">
        <f t="shared" si="2"/>
        <v>0.39878149195859414</v>
      </c>
      <c r="V46" s="11">
        <f t="shared" si="3"/>
        <v>0.21731436891029232</v>
      </c>
      <c r="W46" s="11">
        <f t="shared" si="4"/>
        <v>0.5432859222757308</v>
      </c>
    </row>
    <row r="47" spans="1:23" s="14" customFormat="1">
      <c r="A47" s="14" t="s">
        <v>1</v>
      </c>
      <c r="B47" s="2">
        <f>SUM(B57:B147)*C$9*60</f>
        <v>176.41867043149375</v>
      </c>
      <c r="C47" s="2">
        <f>SUM(C57:C147)*C$9*60</f>
        <v>362.54669822990957</v>
      </c>
      <c r="D47" s="2">
        <f>SUM(D57:D147)*C$9*60</f>
        <v>129.48072515266497</v>
      </c>
      <c r="E47" s="2">
        <f>SUM(E57:E147)*C$9*60</f>
        <v>176.4</v>
      </c>
      <c r="F47" s="2"/>
      <c r="G47" s="14" t="s">
        <v>1</v>
      </c>
      <c r="H47" s="2">
        <f>SUM(H57:H147)*C$9*60</f>
        <v>441.01079344460493</v>
      </c>
      <c r="I47" s="2">
        <f>SUM(I57:I147)*C$9*60</f>
        <v>1101.5708281268301</v>
      </c>
      <c r="J47" s="2">
        <f>SUM(J57:J147)*C$9*60</f>
        <v>323.70181288166242</v>
      </c>
      <c r="K47" s="2">
        <f>SUM(K57:K147)*C$9*60</f>
        <v>441.00000000000017</v>
      </c>
      <c r="L47" s="2"/>
      <c r="Q47" s="14">
        <v>1.2</v>
      </c>
      <c r="R47" s="14">
        <f t="shared" si="0"/>
        <v>12</v>
      </c>
      <c r="S47" s="14">
        <v>0.93</v>
      </c>
      <c r="T47" s="11">
        <f t="shared" si="1"/>
        <v>0.14984516667535053</v>
      </c>
      <c r="U47" s="11">
        <f t="shared" si="2"/>
        <v>0.37461291668837637</v>
      </c>
      <c r="V47" s="11">
        <f t="shared" si="3"/>
        <v>0.20414380109754734</v>
      </c>
      <c r="W47" s="11">
        <f t="shared" si="4"/>
        <v>0.51035950274386843</v>
      </c>
    </row>
    <row r="48" spans="1:23" s="14" customFormat="1">
      <c r="A48" s="14" t="s">
        <v>97</v>
      </c>
      <c r="B48" s="2">
        <f>C24*C20*60/2</f>
        <v>60.424449704984895</v>
      </c>
      <c r="C48" s="2"/>
      <c r="G48" s="14" t="s">
        <v>97</v>
      </c>
      <c r="H48" s="2">
        <f>I24*I20*60/2</f>
        <v>137.6963535158537</v>
      </c>
      <c r="I48" s="2"/>
      <c r="Q48" s="14">
        <v>1.3</v>
      </c>
      <c r="R48" s="14">
        <f t="shared" si="0"/>
        <v>13</v>
      </c>
      <c r="S48" s="14">
        <v>0.86</v>
      </c>
      <c r="T48" s="11">
        <f t="shared" si="1"/>
        <v>0.13856649821591555</v>
      </c>
      <c r="U48" s="11">
        <f t="shared" si="2"/>
        <v>0.34641624553978884</v>
      </c>
      <c r="V48" s="11">
        <f t="shared" si="3"/>
        <v>0.18877813864934487</v>
      </c>
      <c r="W48" s="11">
        <f t="shared" si="4"/>
        <v>0.47194534662336213</v>
      </c>
    </row>
    <row r="49" spans="1:28" s="14" customFormat="1">
      <c r="A49" s="14" t="s">
        <v>98</v>
      </c>
      <c r="B49" s="2">
        <f>D43-B48</f>
        <v>115.97555029501511</v>
      </c>
      <c r="C49" s="2"/>
      <c r="G49" s="14" t="s">
        <v>98</v>
      </c>
      <c r="H49" s="2">
        <f>J43-H48</f>
        <v>303.30364648414627</v>
      </c>
      <c r="I49" s="2"/>
      <c r="Q49" s="14">
        <v>1.4</v>
      </c>
      <c r="R49" s="14">
        <f t="shared" si="0"/>
        <v>14</v>
      </c>
      <c r="S49" s="14">
        <v>0.78</v>
      </c>
      <c r="T49" s="11">
        <f t="shared" si="1"/>
        <v>0.12567659140513271</v>
      </c>
      <c r="U49" s="11">
        <f t="shared" si="2"/>
        <v>0.3141914785128318</v>
      </c>
      <c r="V49" s="11">
        <f t="shared" si="3"/>
        <v>0.17121738156568489</v>
      </c>
      <c r="W49" s="11">
        <f t="shared" si="4"/>
        <v>0.42804345391421222</v>
      </c>
    </row>
    <row r="50" spans="1:28" s="14" customFormat="1">
      <c r="A50" s="14" t="s">
        <v>34</v>
      </c>
      <c r="B50" s="2">
        <f>B49*2/C24/60</f>
        <v>38.386961192448346</v>
      </c>
      <c r="C50" s="2"/>
      <c r="G50" s="14" t="s">
        <v>34</v>
      </c>
      <c r="H50" s="2">
        <f>H49*2/I24/60</f>
        <v>33.040487864033231</v>
      </c>
      <c r="I50" s="2"/>
      <c r="Q50" s="14">
        <v>1.5</v>
      </c>
      <c r="R50" s="14">
        <f t="shared" si="0"/>
        <v>15</v>
      </c>
      <c r="S50" s="14">
        <v>0.68</v>
      </c>
      <c r="T50" s="11">
        <f t="shared" si="1"/>
        <v>0.10956420789165415</v>
      </c>
      <c r="U50" s="11">
        <f t="shared" si="2"/>
        <v>0.27391051972913538</v>
      </c>
      <c r="V50" s="11">
        <f t="shared" si="3"/>
        <v>0.14926643521110988</v>
      </c>
      <c r="W50" s="11">
        <f t="shared" si="4"/>
        <v>0.37316608802777473</v>
      </c>
    </row>
    <row r="51" spans="1:28" s="14" customFormat="1">
      <c r="A51" s="20" t="str">
        <f>IF(C47&gt;D42,"Warning! Volume exceeds total precip","")</f>
        <v/>
      </c>
      <c r="B51" s="2"/>
      <c r="C51" s="2"/>
      <c r="G51" s="20" t="str">
        <f>IF(I47&gt;J42,"Warning! Volume exceeds total precip","")</f>
        <v>Warning! Volume exceeds total precip</v>
      </c>
      <c r="H51" s="2"/>
      <c r="I51" s="2"/>
      <c r="Q51" s="14">
        <v>1.6</v>
      </c>
      <c r="R51" s="14">
        <f t="shared" si="0"/>
        <v>16</v>
      </c>
      <c r="S51" s="14">
        <v>0.56000000000000005</v>
      </c>
      <c r="T51" s="11">
        <f t="shared" si="1"/>
        <v>9.0229347675479896E-2</v>
      </c>
      <c r="U51" s="11">
        <f t="shared" si="2"/>
        <v>0.22557336918869975</v>
      </c>
      <c r="V51" s="11">
        <f t="shared" si="3"/>
        <v>0.12292529958561992</v>
      </c>
      <c r="W51" s="11">
        <f t="shared" si="4"/>
        <v>0.30731324896404982</v>
      </c>
    </row>
    <row r="52" spans="1:28" s="14" customFormat="1">
      <c r="A52" s="20" t="str">
        <f>IF(C47&gt;D42,"Do not use Modified Rational method","")</f>
        <v/>
      </c>
      <c r="B52" s="2"/>
      <c r="C52" s="2"/>
      <c r="G52" s="20" t="str">
        <f>IF(I47&gt;J42,"Do not use Modified Rational method","")</f>
        <v>Do not use Modified Rational method</v>
      </c>
      <c r="H52" s="2"/>
      <c r="I52" s="2"/>
      <c r="Q52" s="14">
        <v>1.8</v>
      </c>
      <c r="R52" s="14">
        <f t="shared" si="0"/>
        <v>18</v>
      </c>
      <c r="S52" s="14">
        <v>0.39</v>
      </c>
      <c r="T52" s="11">
        <f t="shared" si="1"/>
        <v>6.2838295702566355E-2</v>
      </c>
      <c r="U52" s="11">
        <f t="shared" si="2"/>
        <v>0.1570957392564159</v>
      </c>
      <c r="V52" s="11">
        <f t="shared" si="3"/>
        <v>8.5608690782842445E-2</v>
      </c>
      <c r="W52" s="11">
        <f t="shared" si="4"/>
        <v>0.21402172695710611</v>
      </c>
      <c r="Y52" s="54" t="s">
        <v>170</v>
      </c>
    </row>
    <row r="53" spans="1:28" s="14" customFormat="1">
      <c r="A53" s="20"/>
      <c r="B53" s="2"/>
      <c r="C53" s="2"/>
      <c r="E53" s="234" t="s">
        <v>189</v>
      </c>
      <c r="F53" s="140"/>
      <c r="G53" s="20"/>
      <c r="H53" s="2"/>
      <c r="I53" s="2"/>
      <c r="K53" s="234" t="s">
        <v>189</v>
      </c>
      <c r="L53" s="140"/>
      <c r="Q53" s="14">
        <v>2</v>
      </c>
      <c r="R53" s="14">
        <f t="shared" si="0"/>
        <v>20</v>
      </c>
      <c r="S53" s="14">
        <v>0.28000000000000003</v>
      </c>
      <c r="T53" s="11">
        <f t="shared" ref="T53:T62" si="5">+S53*N$39</f>
        <v>4.5114673837739948E-2</v>
      </c>
      <c r="U53" s="11">
        <f t="shared" ref="U53:U62" si="6">+S53*N$41</f>
        <v>0.11278668459434987</v>
      </c>
      <c r="V53" s="11">
        <f t="shared" si="3"/>
        <v>6.1462649792809958E-2</v>
      </c>
      <c r="W53" s="11">
        <f t="shared" si="4"/>
        <v>0.15365662448202491</v>
      </c>
      <c r="X53" s="54"/>
    </row>
    <row r="54" spans="1:28" s="14" customFormat="1" ht="15.75" thickBot="1">
      <c r="B54" s="120" t="s">
        <v>95</v>
      </c>
      <c r="C54" s="120" t="s">
        <v>173</v>
      </c>
      <c r="D54" s="115" t="s">
        <v>174</v>
      </c>
      <c r="E54" s="235"/>
      <c r="F54" s="141"/>
      <c r="H54" s="120" t="s">
        <v>95</v>
      </c>
      <c r="I54" s="120" t="s">
        <v>173</v>
      </c>
      <c r="J54" s="115" t="s">
        <v>174</v>
      </c>
      <c r="K54" s="235"/>
      <c r="L54" s="141"/>
      <c r="N54" s="125"/>
      <c r="Q54" s="14">
        <v>2.2000000000000002</v>
      </c>
      <c r="R54" s="14">
        <f t="shared" si="0"/>
        <v>22</v>
      </c>
      <c r="S54" s="14">
        <v>0.20699999999999999</v>
      </c>
      <c r="T54" s="11">
        <f t="shared" si="5"/>
        <v>3.3352633872900599E-2</v>
      </c>
      <c r="U54" s="11">
        <f t="shared" si="6"/>
        <v>8.33815846822515E-2</v>
      </c>
      <c r="V54" s="11">
        <f t="shared" si="3"/>
        <v>4.5438458953970209E-2</v>
      </c>
      <c r="W54" s="11">
        <f t="shared" si="4"/>
        <v>0.11359614738492553</v>
      </c>
    </row>
    <row r="55" spans="1:28" s="14" customFormat="1" ht="15.75" thickTop="1">
      <c r="A55" s="46" t="s">
        <v>34</v>
      </c>
      <c r="B55" s="47" t="s">
        <v>63</v>
      </c>
      <c r="C55" s="47" t="s">
        <v>63</v>
      </c>
      <c r="D55" s="47" t="s">
        <v>63</v>
      </c>
      <c r="E55" s="130" t="s">
        <v>63</v>
      </c>
      <c r="G55" s="46" t="s">
        <v>34</v>
      </c>
      <c r="H55" s="47" t="s">
        <v>63</v>
      </c>
      <c r="I55" s="47" t="s">
        <v>63</v>
      </c>
      <c r="J55" s="47" t="s">
        <v>63</v>
      </c>
      <c r="K55" s="130" t="s">
        <v>63</v>
      </c>
      <c r="L55" s="15"/>
      <c r="N55" s="125"/>
      <c r="Q55" s="14">
        <v>2.4</v>
      </c>
      <c r="R55" s="14">
        <f t="shared" si="0"/>
        <v>24</v>
      </c>
      <c r="S55" s="14">
        <v>0.14699999999999999</v>
      </c>
      <c r="T55" s="11">
        <f t="shared" si="5"/>
        <v>2.3685203764813468E-2</v>
      </c>
      <c r="U55" s="11">
        <f t="shared" si="6"/>
        <v>5.9213009412033675E-2</v>
      </c>
      <c r="V55" s="11">
        <f t="shared" si="3"/>
        <v>3.2267891141225226E-2</v>
      </c>
      <c r="W55" s="11">
        <f t="shared" si="4"/>
        <v>8.0669727853063061E-2</v>
      </c>
    </row>
    <row r="56" spans="1:28" s="14" customFormat="1" ht="15">
      <c r="A56" s="48" t="s">
        <v>30</v>
      </c>
      <c r="B56" s="45" t="s">
        <v>29</v>
      </c>
      <c r="C56" s="45" t="s">
        <v>29</v>
      </c>
      <c r="D56" s="45" t="s">
        <v>29</v>
      </c>
      <c r="E56" s="131" t="s">
        <v>29</v>
      </c>
      <c r="G56" s="48" t="s">
        <v>30</v>
      </c>
      <c r="H56" s="45" t="s">
        <v>29</v>
      </c>
      <c r="I56" s="45" t="s">
        <v>29</v>
      </c>
      <c r="J56" s="45" t="s">
        <v>29</v>
      </c>
      <c r="K56" s="131" t="s">
        <v>29</v>
      </c>
      <c r="L56" s="122"/>
      <c r="N56" s="125"/>
      <c r="Q56" s="14">
        <v>2.6</v>
      </c>
      <c r="R56" s="14">
        <f t="shared" si="0"/>
        <v>26</v>
      </c>
      <c r="S56" s="14">
        <v>0.107</v>
      </c>
      <c r="T56" s="11">
        <f t="shared" si="5"/>
        <v>1.724025035942205E-2</v>
      </c>
      <c r="U56" s="11">
        <f t="shared" si="6"/>
        <v>4.3100625898555123E-2</v>
      </c>
      <c r="V56" s="11">
        <f t="shared" si="3"/>
        <v>2.3487512599395233E-2</v>
      </c>
      <c r="W56" s="11">
        <f t="shared" si="4"/>
        <v>5.8718781498488075E-2</v>
      </c>
    </row>
    <row r="57" spans="1:28" s="14" customFormat="1" ht="15">
      <c r="A57" s="49">
        <v>0</v>
      </c>
      <c r="B57" s="44">
        <v>0</v>
      </c>
      <c r="C57" s="44">
        <v>0</v>
      </c>
      <c r="D57" s="50">
        <f t="shared" ref="D57:D88" si="7">IF(A57&lt;$R$62,INDEX(T$35:T$62,MATCH(A57,$R$35:$R$62))+(A57-INDEX($R$35:$R$62,MATCH(A57,$R$35:$R$62)))*(INDEX(T$35:T$62,MATCH(A57,$R$35:$R$62)+1)-INDEX(T$35:T$62,MATCH(A57,$R$35:$R$62)))/(INDEX($R$35:$R$62,MATCH(A57,$R$35:$R$62)+1)-INDEX($R$35:$R$62,MATCH(A57,$R$35:$R$62))),"")</f>
        <v>0</v>
      </c>
      <c r="E57" s="128">
        <f t="shared" ref="E57:E88" si="8">IF($A57&lt;$R$62,INDEX(V$35:V$62,MATCH($A57,$R$35:$R$62))+($A57-INDEX($R$35:$R$62,MATCH($A57,$R$35:$R$62)))*(INDEX(V$35:V$62,MATCH($A57,$R$35:$R$62)+1)-INDEX(V$35:V$62,MATCH($A57,$R$35:$R$62)))/(INDEX($R$35:$R$62,MATCH($A57,$R$35:$R$62)+1)-INDEX($R$35:$R$62,MATCH($A57,$R$35:$R$62))),"")</f>
        <v>0</v>
      </c>
      <c r="F57" s="142"/>
      <c r="G57" s="49">
        <v>0</v>
      </c>
      <c r="H57" s="44">
        <v>0</v>
      </c>
      <c r="I57" s="44">
        <v>0</v>
      </c>
      <c r="J57" s="50">
        <f>IF($G57&lt;$R$62,INDEX(U$35:U$62,MATCH($G57,$R$35:$R$62))+($G57-INDEX($R$35:$R$62,MATCH($G57,$R$35:$R$62)))*(INDEX(U$35:U$62,MATCH($G57,$R$35:$R$62)+1)-INDEX(U$35:U$62,MATCH($G57,$R$35:$R$62)))/(INDEX($R$35:$R$62,MATCH($G57,$R$35:$R$62)+1)-INDEX($R$35:$R$62,MATCH($G57,$R$35:$R$62))),"")</f>
        <v>0</v>
      </c>
      <c r="K57" s="128">
        <f t="shared" ref="K57:K88" si="9">IF($G57&lt;$R$62,INDEX(W$35:W$62,MATCH($G57,$R$35:$R$62))+($G57-INDEX($R$35:$R$62,MATCH($G57,$R$35:$R$62)))*(INDEX(W$35:W$62,MATCH($G57,$R$35:$R$62)+1)-INDEX(W$35:W$62,MATCH($G57,$R$35:$R$62)))/(INDEX($R$35:$R$62,MATCH($G57,$R$35:$R$62)+1)-INDEX($R$35:$R$62,MATCH($G57,$R$35:$R$62))),"")</f>
        <v>0</v>
      </c>
      <c r="L57" s="142"/>
      <c r="N57" s="125"/>
      <c r="Q57" s="14">
        <v>2.8</v>
      </c>
      <c r="R57" s="14">
        <f t="shared" si="0"/>
        <v>28</v>
      </c>
      <c r="S57" s="14">
        <v>7.6999999999999999E-2</v>
      </c>
      <c r="T57" s="11">
        <f t="shared" si="5"/>
        <v>1.2406535305378484E-2</v>
      </c>
      <c r="U57" s="11">
        <f t="shared" si="6"/>
        <v>3.1016338263446214E-2</v>
      </c>
      <c r="V57" s="11">
        <f t="shared" si="3"/>
        <v>1.6902228693022738E-2</v>
      </c>
      <c r="W57" s="11">
        <f t="shared" si="4"/>
        <v>4.2255571732556847E-2</v>
      </c>
    </row>
    <row r="58" spans="1:28" s="14" customFormat="1" ht="15">
      <c r="A58" s="49">
        <f>IF(A57&lt;=C$20+$C$6-$C$9,A57+$C$9,"")</f>
        <v>1</v>
      </c>
      <c r="B58" s="50">
        <f t="shared" ref="B58:B89" si="10">IF(A58&lt;=C$20+B$50,IF(A58&lt;=C$20,A58/C$20*C$24,(C$20+B$50-A58)/(B$50)*C$24),"")</f>
        <v>5.0353708087487415E-3</v>
      </c>
      <c r="C58" s="50">
        <f t="shared" ref="C58:C89" si="11">IF(A58="","",IF(A58&lt;=C$20,A58/C$20*C$24,IF(A58&lt;=C$6,C$24,(C$6+C$20-A58)/C$20*C$24)))</f>
        <v>5.0353708087487415E-3</v>
      </c>
      <c r="D58" s="50">
        <f t="shared" si="7"/>
        <v>4.8337150540435653E-3</v>
      </c>
      <c r="E58" s="128">
        <f t="shared" si="8"/>
        <v>6.5852839063724952E-3</v>
      </c>
      <c r="F58" s="142"/>
      <c r="G58" s="49">
        <f t="shared" ref="G58:G89" si="12">IF(G57&lt;=I$20+$C$6-$C$9,G57+$C$9,"")</f>
        <v>1</v>
      </c>
      <c r="H58" s="50">
        <f t="shared" ref="H58:H89" si="13">IF(G58&lt;=I$20+H$50,IF(G58&lt;=I$20,G58/I$20*I$24,(I$20+H$50-G58)/(H$50)*I$24),"")</f>
        <v>2.0399459780126476E-2</v>
      </c>
      <c r="I58" s="50">
        <f t="shared" ref="I58:I89" si="14">IF(G58="","",IF(G58&lt;=I$20,G58/I$20*I$24,IF(G58&lt;=C$6,I$24,(C$6+I$20-G58)/I$20*I$24)))</f>
        <v>2.0399459780126476E-2</v>
      </c>
      <c r="J58" s="50">
        <f t="shared" ref="J58:J89" si="15">IF(G58&lt;R$62,INDEX(U$35:U$62,MATCH(G58,R$35:R$62))+(G58-INDEX(R$35:R$62,MATCH(G58,R$35:R$62)))*(INDEX(U$35:U$62,MATCH(G58,R$35:R$62)+1)-INDEX(U$35:U$62,MATCH(G58,R$35:R$62)))/(INDEX(R$35:R$62,MATCH(G58,R$35:R$62)+1)-INDEX(R$35:R$62,MATCH(G58,R$35:R$62))),"")</f>
        <v>1.2084287635108914E-2</v>
      </c>
      <c r="K58" s="128">
        <f t="shared" si="9"/>
        <v>1.6463209765931238E-2</v>
      </c>
      <c r="L58" s="142"/>
      <c r="N58" s="125"/>
      <c r="Q58" s="14">
        <v>3</v>
      </c>
      <c r="R58" s="14">
        <f t="shared" si="0"/>
        <v>30</v>
      </c>
      <c r="S58" s="14">
        <v>5.5E-2</v>
      </c>
      <c r="T58" s="11">
        <f t="shared" si="5"/>
        <v>8.8618109324132034E-3</v>
      </c>
      <c r="U58" s="11">
        <f t="shared" si="6"/>
        <v>2.215452733103301E-2</v>
      </c>
      <c r="V58" s="11">
        <f t="shared" si="3"/>
        <v>1.2073020495016242E-2</v>
      </c>
      <c r="W58" s="11">
        <f t="shared" si="4"/>
        <v>3.0182551237540607E-2</v>
      </c>
    </row>
    <row r="59" spans="1:28" s="14" customFormat="1" ht="15">
      <c r="A59" s="49">
        <f t="shared" ref="A59:A90" si="16">IF(A58&lt;=C$20+C$6-C$9,A58+C$9,"")</f>
        <v>2</v>
      </c>
      <c r="B59" s="50">
        <f t="shared" si="10"/>
        <v>1.0070741617497483E-2</v>
      </c>
      <c r="C59" s="50">
        <f t="shared" si="11"/>
        <v>1.0070741617497483E-2</v>
      </c>
      <c r="D59" s="50">
        <f t="shared" si="7"/>
        <v>1.6112383513478552E-2</v>
      </c>
      <c r="E59" s="128">
        <f t="shared" si="8"/>
        <v>2.1950946354574986E-2</v>
      </c>
      <c r="F59" s="142"/>
      <c r="G59" s="49">
        <f t="shared" si="12"/>
        <v>2</v>
      </c>
      <c r="H59" s="50">
        <f t="shared" si="13"/>
        <v>4.0798919560252951E-2</v>
      </c>
      <c r="I59" s="50">
        <f t="shared" si="14"/>
        <v>4.0798919560252951E-2</v>
      </c>
      <c r="J59" s="50">
        <f t="shared" si="15"/>
        <v>4.0280958783696384E-2</v>
      </c>
      <c r="K59" s="128">
        <f t="shared" si="9"/>
        <v>5.4877365886437469E-2</v>
      </c>
      <c r="L59" s="142"/>
      <c r="N59" s="125"/>
      <c r="Q59" s="14">
        <v>3.5</v>
      </c>
      <c r="R59" s="14">
        <f t="shared" si="0"/>
        <v>35</v>
      </c>
      <c r="S59" s="14">
        <v>2.5000000000000001E-2</v>
      </c>
      <c r="T59" s="11">
        <f t="shared" si="5"/>
        <v>4.0280958783696381E-3</v>
      </c>
      <c r="U59" s="11">
        <f t="shared" si="6"/>
        <v>1.0070239695924096E-2</v>
      </c>
      <c r="V59" s="11">
        <f t="shared" si="3"/>
        <v>5.4877365886437466E-3</v>
      </c>
      <c r="W59" s="11">
        <f t="shared" si="4"/>
        <v>1.3719341471609367E-2</v>
      </c>
    </row>
    <row r="60" spans="1:28" s="14" customFormat="1">
      <c r="A60" s="49">
        <f t="shared" si="16"/>
        <v>3</v>
      </c>
      <c r="B60" s="50">
        <f t="shared" si="10"/>
        <v>1.5106112426246222E-2</v>
      </c>
      <c r="C60" s="50">
        <f t="shared" si="11"/>
        <v>1.5106112426246222E-2</v>
      </c>
      <c r="D60" s="50">
        <f t="shared" si="7"/>
        <v>3.0613528675609247E-2</v>
      </c>
      <c r="E60" s="128">
        <f t="shared" si="8"/>
        <v>4.1706798073692465E-2</v>
      </c>
      <c r="F60" s="142"/>
      <c r="G60" s="49">
        <f t="shared" si="12"/>
        <v>3</v>
      </c>
      <c r="H60" s="50">
        <f t="shared" si="13"/>
        <v>6.119837934037943E-2</v>
      </c>
      <c r="I60" s="50">
        <f t="shared" si="14"/>
        <v>6.119837934037943E-2</v>
      </c>
      <c r="J60" s="50">
        <f t="shared" si="15"/>
        <v>7.6533821689023118E-2</v>
      </c>
      <c r="K60" s="128">
        <f t="shared" si="9"/>
        <v>0.10426699518423117</v>
      </c>
      <c r="L60" s="142"/>
      <c r="Q60" s="116">
        <v>4</v>
      </c>
      <c r="R60" s="14">
        <f t="shared" si="0"/>
        <v>40</v>
      </c>
      <c r="S60" s="14">
        <v>1.0999999999999999E-2</v>
      </c>
      <c r="T60" s="11">
        <f t="shared" si="5"/>
        <v>1.7723621864826405E-3</v>
      </c>
      <c r="U60" s="11">
        <f t="shared" si="6"/>
        <v>4.4309054662066017E-3</v>
      </c>
      <c r="V60" s="11">
        <f t="shared" si="3"/>
        <v>2.4146040990032482E-3</v>
      </c>
      <c r="W60" s="11">
        <f t="shared" si="4"/>
        <v>6.0365102475081209E-3</v>
      </c>
    </row>
    <row r="61" spans="1:28" s="14" customFormat="1">
      <c r="A61" s="49">
        <f t="shared" si="16"/>
        <v>4</v>
      </c>
      <c r="B61" s="50">
        <f t="shared" si="10"/>
        <v>2.0141483234994966E-2</v>
      </c>
      <c r="C61" s="50">
        <f t="shared" si="11"/>
        <v>2.0141483234994966E-2</v>
      </c>
      <c r="D61" s="50">
        <f t="shared" si="7"/>
        <v>4.9948388891783504E-2</v>
      </c>
      <c r="E61" s="128">
        <f t="shared" si="8"/>
        <v>6.8047933699182439E-2</v>
      </c>
      <c r="F61" s="142"/>
      <c r="G61" s="49">
        <f t="shared" si="12"/>
        <v>4</v>
      </c>
      <c r="H61" s="50">
        <f t="shared" si="13"/>
        <v>8.1597839120505902E-2</v>
      </c>
      <c r="I61" s="50">
        <f t="shared" si="14"/>
        <v>8.1597839120505902E-2</v>
      </c>
      <c r="J61" s="50">
        <f t="shared" si="15"/>
        <v>0.12487097222945878</v>
      </c>
      <c r="K61" s="128">
        <f t="shared" si="9"/>
        <v>0.17011983424795613</v>
      </c>
      <c r="L61" s="142"/>
      <c r="Q61" s="116">
        <v>4.5</v>
      </c>
      <c r="R61" s="14">
        <f t="shared" si="0"/>
        <v>45</v>
      </c>
      <c r="S61" s="14">
        <v>5.0000000000000001E-3</v>
      </c>
      <c r="T61" s="11">
        <f t="shared" si="5"/>
        <v>8.0561917567392759E-4</v>
      </c>
      <c r="U61" s="11">
        <f t="shared" si="6"/>
        <v>2.014047939184819E-3</v>
      </c>
      <c r="V61" s="11">
        <f t="shared" si="3"/>
        <v>1.0975473177287493E-3</v>
      </c>
      <c r="W61" s="11">
        <f t="shared" si="4"/>
        <v>2.7438682943218733E-3</v>
      </c>
    </row>
    <row r="62" spans="1:28" s="14" customFormat="1">
      <c r="A62" s="49">
        <f t="shared" si="16"/>
        <v>5</v>
      </c>
      <c r="B62" s="50">
        <f t="shared" si="10"/>
        <v>2.5176854043743705E-2</v>
      </c>
      <c r="C62" s="50">
        <f t="shared" si="11"/>
        <v>2.5176854043743705E-2</v>
      </c>
      <c r="D62" s="50">
        <f t="shared" si="7"/>
        <v>7.5728202513349191E-2</v>
      </c>
      <c r="E62" s="128">
        <f t="shared" si="8"/>
        <v>0.10316944786650242</v>
      </c>
      <c r="F62" s="142"/>
      <c r="G62" s="49">
        <f t="shared" si="12"/>
        <v>5</v>
      </c>
      <c r="H62" s="50">
        <f t="shared" si="13"/>
        <v>0.10199729890063237</v>
      </c>
      <c r="I62" s="50">
        <f t="shared" si="14"/>
        <v>0.10199729890063237</v>
      </c>
      <c r="J62" s="50">
        <f t="shared" si="15"/>
        <v>0.18932050628337296</v>
      </c>
      <c r="K62" s="128">
        <f t="shared" si="9"/>
        <v>0.25792361966625604</v>
      </c>
      <c r="L62" s="142"/>
      <c r="Q62">
        <v>5</v>
      </c>
      <c r="R62" s="14">
        <f t="shared" si="0"/>
        <v>50</v>
      </c>
      <c r="S62" s="1">
        <v>0</v>
      </c>
      <c r="T62" s="11">
        <f t="shared" si="5"/>
        <v>0</v>
      </c>
      <c r="U62" s="11">
        <f t="shared" si="6"/>
        <v>0</v>
      </c>
      <c r="V62" s="11">
        <f t="shared" si="3"/>
        <v>0</v>
      </c>
      <c r="W62" s="11">
        <f t="shared" si="4"/>
        <v>0</v>
      </c>
    </row>
    <row r="63" spans="1:28" s="14" customFormat="1">
      <c r="A63" s="49">
        <f t="shared" si="16"/>
        <v>6</v>
      </c>
      <c r="B63" s="50">
        <f t="shared" si="10"/>
        <v>3.0212224852492444E-2</v>
      </c>
      <c r="C63" s="50">
        <f t="shared" si="11"/>
        <v>3.0212224852492444E-2</v>
      </c>
      <c r="D63" s="50">
        <f t="shared" si="7"/>
        <v>0.10634173118895844</v>
      </c>
      <c r="E63" s="128">
        <f t="shared" si="8"/>
        <v>0.14487624594019491</v>
      </c>
      <c r="F63" s="142"/>
      <c r="G63" s="49">
        <f t="shared" si="12"/>
        <v>6</v>
      </c>
      <c r="H63" s="50">
        <f t="shared" si="13"/>
        <v>0.12239675868075886</v>
      </c>
      <c r="I63" s="50">
        <f t="shared" si="14"/>
        <v>0.12239675868075886</v>
      </c>
      <c r="J63" s="50">
        <f t="shared" si="15"/>
        <v>0.26585432797239611</v>
      </c>
      <c r="K63" s="128">
        <f t="shared" si="9"/>
        <v>0.36219061485048726</v>
      </c>
      <c r="L63" s="142"/>
      <c r="P63"/>
      <c r="Q63" s="1"/>
      <c r="R63" s="124"/>
      <c r="T63" s="1"/>
      <c r="U63" s="1"/>
      <c r="V63" s="133"/>
      <c r="W63" s="1"/>
      <c r="X63" s="1"/>
      <c r="Y63" s="1"/>
      <c r="Z63" s="1"/>
      <c r="AA63"/>
      <c r="AB63"/>
    </row>
    <row r="64" spans="1:28" s="14" customFormat="1" ht="15">
      <c r="A64" s="49">
        <f t="shared" si="16"/>
        <v>7</v>
      </c>
      <c r="B64" s="50">
        <f t="shared" si="10"/>
        <v>3.5247595661241186E-2</v>
      </c>
      <c r="C64" s="50">
        <f t="shared" si="11"/>
        <v>3.5247595661241186E-2</v>
      </c>
      <c r="D64" s="50">
        <f t="shared" si="7"/>
        <v>0.1321215448105241</v>
      </c>
      <c r="E64" s="128">
        <f t="shared" si="8"/>
        <v>0.17999776010751484</v>
      </c>
      <c r="F64" s="142"/>
      <c r="G64" s="49">
        <f t="shared" si="12"/>
        <v>7</v>
      </c>
      <c r="H64" s="50">
        <f t="shared" si="13"/>
        <v>0.14279621846088533</v>
      </c>
      <c r="I64" s="50">
        <f t="shared" si="14"/>
        <v>0.14279621846088533</v>
      </c>
      <c r="J64" s="50">
        <f t="shared" si="15"/>
        <v>0.33030386202631029</v>
      </c>
      <c r="K64" s="128">
        <f t="shared" si="9"/>
        <v>0.44999440026878718</v>
      </c>
      <c r="L64" s="142"/>
      <c r="N64" s="125"/>
      <c r="P64"/>
      <c r="Q64"/>
      <c r="T64"/>
      <c r="U64" s="5" t="s">
        <v>187</v>
      </c>
      <c r="V64" s="11"/>
      <c r="W64" s="8"/>
      <c r="X64" s="1"/>
      <c r="Y64" s="1"/>
      <c r="Z64" s="1"/>
      <c r="AA64"/>
      <c r="AB64"/>
    </row>
    <row r="65" spans="1:28" s="14" customFormat="1" ht="14.25">
      <c r="A65" s="49">
        <f t="shared" si="16"/>
        <v>8</v>
      </c>
      <c r="B65" s="50">
        <f t="shared" si="10"/>
        <v>4.0282966469989932E-2</v>
      </c>
      <c r="C65" s="50">
        <f t="shared" si="11"/>
        <v>4.0282966469989932E-2</v>
      </c>
      <c r="D65" s="50">
        <f t="shared" si="7"/>
        <v>0.14984516667535053</v>
      </c>
      <c r="E65" s="128">
        <f t="shared" si="8"/>
        <v>0.20414380109754734</v>
      </c>
      <c r="F65" s="142"/>
      <c r="G65" s="49">
        <f t="shared" si="12"/>
        <v>8</v>
      </c>
      <c r="H65" s="50">
        <f t="shared" si="13"/>
        <v>0.1631956782410118</v>
      </c>
      <c r="I65" s="50">
        <f t="shared" si="14"/>
        <v>0.1631956782410118</v>
      </c>
      <c r="J65" s="50">
        <f t="shared" si="15"/>
        <v>0.37461291668837637</v>
      </c>
      <c r="K65" s="128">
        <f t="shared" si="9"/>
        <v>0.51035950274386843</v>
      </c>
      <c r="L65" s="142"/>
      <c r="P65"/>
      <c r="Q65"/>
      <c r="T65"/>
      <c r="U65" s="5" t="s">
        <v>188</v>
      </c>
      <c r="W65" s="8"/>
      <c r="X65" s="8"/>
      <c r="Y65" s="8"/>
      <c r="Z65" s="8"/>
      <c r="AA65"/>
      <c r="AB65"/>
    </row>
    <row r="66" spans="1:28" s="14" customFormat="1">
      <c r="A66" s="49">
        <f t="shared" si="16"/>
        <v>9</v>
      </c>
      <c r="B66" s="50">
        <f t="shared" si="10"/>
        <v>4.5318337278738671E-2</v>
      </c>
      <c r="C66" s="50">
        <f t="shared" si="11"/>
        <v>4.5318337278738671E-2</v>
      </c>
      <c r="D66" s="50">
        <f t="shared" si="7"/>
        <v>0.15951259678343765</v>
      </c>
      <c r="E66" s="128">
        <f t="shared" si="8"/>
        <v>0.21731436891029232</v>
      </c>
      <c r="F66" s="142"/>
      <c r="G66" s="49">
        <f t="shared" si="12"/>
        <v>9</v>
      </c>
      <c r="H66" s="50">
        <f t="shared" si="13"/>
        <v>0.18359513802113828</v>
      </c>
      <c r="I66" s="50">
        <f t="shared" si="14"/>
        <v>0.18359513802113828</v>
      </c>
      <c r="J66" s="50">
        <f t="shared" si="15"/>
        <v>0.39878149195859414</v>
      </c>
      <c r="K66" s="128">
        <f t="shared" si="9"/>
        <v>0.5432859222757308</v>
      </c>
      <c r="L66" s="142"/>
      <c r="P66"/>
      <c r="X66" s="8"/>
      <c r="Y66" s="8"/>
      <c r="Z66" s="8"/>
      <c r="AA66"/>
      <c r="AB66"/>
    </row>
    <row r="67" spans="1:28" s="14" customFormat="1">
      <c r="A67" s="49">
        <f t="shared" si="16"/>
        <v>10</v>
      </c>
      <c r="B67" s="50">
        <f t="shared" si="10"/>
        <v>5.035370808748741E-2</v>
      </c>
      <c r="C67" s="50">
        <f t="shared" si="11"/>
        <v>5.035370808748741E-2</v>
      </c>
      <c r="D67" s="50">
        <f t="shared" si="7"/>
        <v>0.16112383513478551</v>
      </c>
      <c r="E67" s="128">
        <f t="shared" si="8"/>
        <v>0.21950946354574982</v>
      </c>
      <c r="F67" s="142"/>
      <c r="G67" s="49">
        <f t="shared" si="12"/>
        <v>10</v>
      </c>
      <c r="H67" s="50">
        <f t="shared" si="13"/>
        <v>0.20399459780126475</v>
      </c>
      <c r="I67" s="50">
        <f t="shared" si="14"/>
        <v>0.20399459780126475</v>
      </c>
      <c r="J67" s="50">
        <f t="shared" si="15"/>
        <v>0.4028095878369638</v>
      </c>
      <c r="K67" s="128">
        <f t="shared" si="9"/>
        <v>0.54877365886437457</v>
      </c>
      <c r="L67" s="142"/>
      <c r="P67"/>
      <c r="Q67"/>
      <c r="T67"/>
      <c r="W67" s="8"/>
      <c r="X67" s="8"/>
      <c r="Y67" s="8"/>
      <c r="Z67" s="8"/>
      <c r="AA67"/>
      <c r="AB67"/>
    </row>
    <row r="68" spans="1:28" s="14" customFormat="1">
      <c r="A68" s="49">
        <f t="shared" si="16"/>
        <v>11</v>
      </c>
      <c r="B68" s="50">
        <f t="shared" si="10"/>
        <v>5.5389078896236156E-2</v>
      </c>
      <c r="C68" s="50">
        <f t="shared" si="11"/>
        <v>5.5389078896236156E-2</v>
      </c>
      <c r="D68" s="50">
        <f t="shared" si="7"/>
        <v>0.15951259678343765</v>
      </c>
      <c r="E68" s="128">
        <f t="shared" si="8"/>
        <v>0.21731436891029232</v>
      </c>
      <c r="F68" s="142"/>
      <c r="G68" s="49">
        <f t="shared" si="12"/>
        <v>11</v>
      </c>
      <c r="H68" s="50">
        <f t="shared" si="13"/>
        <v>0.22439405758139122</v>
      </c>
      <c r="I68" s="50">
        <f t="shared" si="14"/>
        <v>0.22439405758139122</v>
      </c>
      <c r="J68" s="50">
        <f t="shared" si="15"/>
        <v>0.39878149195859414</v>
      </c>
      <c r="K68" s="128">
        <f t="shared" si="9"/>
        <v>0.5432859222757308</v>
      </c>
      <c r="L68" s="142"/>
      <c r="P68"/>
      <c r="Q68"/>
      <c r="T68"/>
      <c r="W68" s="8"/>
      <c r="X68" s="8"/>
      <c r="Y68" s="8"/>
      <c r="Z68" s="8"/>
      <c r="AA68"/>
      <c r="AB68"/>
    </row>
    <row r="69" spans="1:28" s="14" customFormat="1">
      <c r="A69" s="49">
        <f t="shared" si="16"/>
        <v>12</v>
      </c>
      <c r="B69" s="50">
        <f t="shared" si="10"/>
        <v>6.0424449704984888E-2</v>
      </c>
      <c r="C69" s="50">
        <f t="shared" si="11"/>
        <v>6.0424449704984888E-2</v>
      </c>
      <c r="D69" s="50">
        <f t="shared" si="7"/>
        <v>0.14984516667535053</v>
      </c>
      <c r="E69" s="128">
        <f t="shared" si="8"/>
        <v>0.20414380109754734</v>
      </c>
      <c r="F69" s="142"/>
      <c r="G69" s="49">
        <f t="shared" si="12"/>
        <v>12</v>
      </c>
      <c r="H69" s="50">
        <f t="shared" si="13"/>
        <v>0.24479351736151772</v>
      </c>
      <c r="I69" s="50">
        <f t="shared" si="14"/>
        <v>0.24479351736151772</v>
      </c>
      <c r="J69" s="50">
        <f t="shared" si="15"/>
        <v>0.37461291668837637</v>
      </c>
      <c r="K69" s="128">
        <f t="shared" si="9"/>
        <v>0.51035950274386843</v>
      </c>
      <c r="L69" s="142"/>
      <c r="P69"/>
      <c r="Q69"/>
      <c r="T69"/>
      <c r="W69" s="8"/>
      <c r="X69" s="8"/>
      <c r="Y69" s="8"/>
      <c r="Z69" s="8"/>
      <c r="AA69"/>
      <c r="AB69"/>
    </row>
    <row r="70" spans="1:28" s="14" customFormat="1">
      <c r="A70" s="49">
        <f t="shared" si="16"/>
        <v>13</v>
      </c>
      <c r="B70" s="50">
        <f t="shared" si="10"/>
        <v>6.5459820513733641E-2</v>
      </c>
      <c r="C70" s="50">
        <f t="shared" si="11"/>
        <v>6.5459820513733641E-2</v>
      </c>
      <c r="D70" s="50">
        <f t="shared" si="7"/>
        <v>0.13856649821591555</v>
      </c>
      <c r="E70" s="128">
        <f t="shared" si="8"/>
        <v>0.18877813864934487</v>
      </c>
      <c r="F70" s="142"/>
      <c r="G70" s="49">
        <f t="shared" si="12"/>
        <v>13</v>
      </c>
      <c r="H70" s="50">
        <f t="shared" si="13"/>
        <v>0.26519297714164419</v>
      </c>
      <c r="I70" s="50">
        <f t="shared" si="14"/>
        <v>0.26519297714164419</v>
      </c>
      <c r="J70" s="50">
        <f t="shared" si="15"/>
        <v>0.34641624553978884</v>
      </c>
      <c r="K70" s="128">
        <f t="shared" si="9"/>
        <v>0.47194534662336213</v>
      </c>
      <c r="L70" s="142"/>
      <c r="P70"/>
      <c r="Q70"/>
      <c r="T70"/>
      <c r="W70" s="8"/>
      <c r="X70" s="8"/>
      <c r="Y70" s="8"/>
      <c r="Z70" s="8"/>
      <c r="AA70"/>
      <c r="AB70"/>
    </row>
    <row r="71" spans="1:28" s="14" customFormat="1">
      <c r="A71" s="49">
        <f t="shared" si="16"/>
        <v>14</v>
      </c>
      <c r="B71" s="50">
        <f t="shared" si="10"/>
        <v>7.0495191322482373E-2</v>
      </c>
      <c r="C71" s="50">
        <f t="shared" si="11"/>
        <v>7.0495191322482373E-2</v>
      </c>
      <c r="D71" s="50">
        <f t="shared" si="7"/>
        <v>0.12567659140513271</v>
      </c>
      <c r="E71" s="128">
        <f t="shared" si="8"/>
        <v>0.17121738156568489</v>
      </c>
      <c r="F71" s="142"/>
      <c r="G71" s="49">
        <f t="shared" si="12"/>
        <v>14</v>
      </c>
      <c r="H71" s="50">
        <f t="shared" si="13"/>
        <v>0.28559243692177066</v>
      </c>
      <c r="I71" s="50">
        <f t="shared" si="14"/>
        <v>0.28559243692177066</v>
      </c>
      <c r="J71" s="50">
        <f t="shared" si="15"/>
        <v>0.3141914785128318</v>
      </c>
      <c r="K71" s="128">
        <f t="shared" si="9"/>
        <v>0.42804345391421222</v>
      </c>
      <c r="L71" s="142"/>
      <c r="P71"/>
      <c r="Q71"/>
      <c r="T71"/>
      <c r="W71" s="8"/>
      <c r="X71" s="8"/>
      <c r="Y71" s="8"/>
      <c r="Z71" s="8"/>
      <c r="AA71"/>
      <c r="AB71"/>
    </row>
    <row r="72" spans="1:28" s="14" customFormat="1">
      <c r="A72" s="49">
        <f t="shared" si="16"/>
        <v>15</v>
      </c>
      <c r="B72" s="50">
        <f t="shared" si="10"/>
        <v>7.5530562131231119E-2</v>
      </c>
      <c r="C72" s="50">
        <f t="shared" si="11"/>
        <v>7.5530562131231119E-2</v>
      </c>
      <c r="D72" s="50">
        <f t="shared" si="7"/>
        <v>0.10956420789165415</v>
      </c>
      <c r="E72" s="128">
        <f t="shared" si="8"/>
        <v>0.14926643521110988</v>
      </c>
      <c r="F72" s="142"/>
      <c r="G72" s="49">
        <f t="shared" si="12"/>
        <v>15</v>
      </c>
      <c r="H72" s="50">
        <f t="shared" si="13"/>
        <v>0.30599189670189714</v>
      </c>
      <c r="I72" s="50">
        <f t="shared" si="14"/>
        <v>0.30599189670189714</v>
      </c>
      <c r="J72" s="50">
        <f t="shared" si="15"/>
        <v>0.27391051972913538</v>
      </c>
      <c r="K72" s="128">
        <f t="shared" si="9"/>
        <v>0.37316608802777473</v>
      </c>
      <c r="L72" s="142"/>
      <c r="P72"/>
      <c r="Q72"/>
      <c r="T72"/>
      <c r="W72" s="8"/>
      <c r="X72" s="8"/>
      <c r="Y72" s="8"/>
      <c r="Z72" s="8"/>
      <c r="AA72"/>
      <c r="AB72"/>
    </row>
    <row r="73" spans="1:28" s="14" customFormat="1">
      <c r="A73" s="49">
        <f t="shared" si="16"/>
        <v>16</v>
      </c>
      <c r="B73" s="50">
        <f t="shared" si="10"/>
        <v>8.0565932939979865E-2</v>
      </c>
      <c r="C73" s="50">
        <f t="shared" si="11"/>
        <v>8.0565932939979865E-2</v>
      </c>
      <c r="D73" s="50">
        <f t="shared" si="7"/>
        <v>9.0229347675479896E-2</v>
      </c>
      <c r="E73" s="128">
        <f t="shared" si="8"/>
        <v>0.12292529958561992</v>
      </c>
      <c r="F73" s="142"/>
      <c r="G73" s="49">
        <f t="shared" si="12"/>
        <v>16</v>
      </c>
      <c r="H73" s="50">
        <f t="shared" si="13"/>
        <v>0.29673077749684479</v>
      </c>
      <c r="I73" s="50">
        <f t="shared" si="14"/>
        <v>0.30599189670189714</v>
      </c>
      <c r="J73" s="50">
        <f t="shared" si="15"/>
        <v>0.22557336918869975</v>
      </c>
      <c r="K73" s="128">
        <f t="shared" si="9"/>
        <v>0.30731324896404982</v>
      </c>
      <c r="L73" s="142"/>
      <c r="P73"/>
      <c r="Q73"/>
      <c r="T73"/>
      <c r="W73" s="8"/>
      <c r="X73" s="8"/>
      <c r="Y73" s="8"/>
      <c r="Z73" s="8"/>
      <c r="AA73"/>
      <c r="AB73"/>
    </row>
    <row r="74" spans="1:28" s="14" customFormat="1">
      <c r="A74" s="49">
        <f t="shared" si="16"/>
        <v>17</v>
      </c>
      <c r="B74" s="50">
        <f t="shared" si="10"/>
        <v>8.5601303748728597E-2</v>
      </c>
      <c r="C74" s="50">
        <f t="shared" si="11"/>
        <v>8.5601303748728597E-2</v>
      </c>
      <c r="D74" s="50">
        <f t="shared" si="7"/>
        <v>7.6533821689023118E-2</v>
      </c>
      <c r="E74" s="128">
        <f t="shared" si="8"/>
        <v>0.10426699518423119</v>
      </c>
      <c r="F74" s="142"/>
      <c r="G74" s="49">
        <f t="shared" si="12"/>
        <v>17</v>
      </c>
      <c r="H74" s="50">
        <f t="shared" si="13"/>
        <v>0.28746965829179244</v>
      </c>
      <c r="I74" s="50">
        <f t="shared" si="14"/>
        <v>0.30599189670189714</v>
      </c>
      <c r="J74" s="50">
        <f t="shared" si="15"/>
        <v>0.19133455422255782</v>
      </c>
      <c r="K74" s="128">
        <f t="shared" si="9"/>
        <v>0.26066748796057798</v>
      </c>
      <c r="L74" s="142"/>
      <c r="X74" s="18"/>
    </row>
    <row r="75" spans="1:28" s="14" customFormat="1">
      <c r="A75" s="49">
        <f t="shared" si="16"/>
        <v>18</v>
      </c>
      <c r="B75" s="50">
        <f t="shared" si="10"/>
        <v>9.0636674557477342E-2</v>
      </c>
      <c r="C75" s="50">
        <f t="shared" si="11"/>
        <v>9.0636674557477342E-2</v>
      </c>
      <c r="D75" s="50">
        <f t="shared" si="7"/>
        <v>6.2838295702566355E-2</v>
      </c>
      <c r="E75" s="128">
        <f t="shared" si="8"/>
        <v>8.5608690782842445E-2</v>
      </c>
      <c r="F75" s="142"/>
      <c r="G75" s="49">
        <f t="shared" si="12"/>
        <v>18</v>
      </c>
      <c r="H75" s="50">
        <f t="shared" si="13"/>
        <v>0.27820853908674009</v>
      </c>
      <c r="I75" s="50">
        <f t="shared" si="14"/>
        <v>0.30599189670189714</v>
      </c>
      <c r="J75" s="50">
        <f t="shared" si="15"/>
        <v>0.1570957392564159</v>
      </c>
      <c r="K75" s="128">
        <f t="shared" si="9"/>
        <v>0.21402172695710611</v>
      </c>
      <c r="L75" s="142"/>
      <c r="P75" s="21"/>
      <c r="S75" s="34"/>
      <c r="T75" s="21"/>
      <c r="W75" s="8"/>
      <c r="X75" s="21"/>
      <c r="Z75" s="34"/>
      <c r="AA75" s="21"/>
    </row>
    <row r="76" spans="1:28" s="14" customFormat="1">
      <c r="A76" s="49">
        <f t="shared" si="16"/>
        <v>19</v>
      </c>
      <c r="B76" s="50">
        <f t="shared" si="10"/>
        <v>9.5672045366226074E-2</v>
      </c>
      <c r="C76" s="50">
        <f t="shared" si="11"/>
        <v>9.5672045366226074E-2</v>
      </c>
      <c r="D76" s="50">
        <f t="shared" si="7"/>
        <v>5.3976484770153155E-2</v>
      </c>
      <c r="E76" s="128">
        <f t="shared" si="8"/>
        <v>7.3535670287826205E-2</v>
      </c>
      <c r="F76" s="142"/>
      <c r="G76" s="49">
        <f t="shared" si="12"/>
        <v>19</v>
      </c>
      <c r="H76" s="50">
        <f t="shared" si="13"/>
        <v>0.26894741988168774</v>
      </c>
      <c r="I76" s="50">
        <f t="shared" si="14"/>
        <v>0.30599189670189714</v>
      </c>
      <c r="J76" s="50">
        <f t="shared" si="15"/>
        <v>0.13494121192538289</v>
      </c>
      <c r="K76" s="128">
        <f t="shared" si="9"/>
        <v>0.18383917571956551</v>
      </c>
      <c r="L76" s="142"/>
      <c r="P76" s="21"/>
      <c r="S76" s="34"/>
      <c r="T76" s="21"/>
      <c r="X76" s="21"/>
      <c r="Z76" s="34"/>
      <c r="AA76" s="21"/>
    </row>
    <row r="77" spans="1:28" s="14" customFormat="1">
      <c r="A77" s="49">
        <f t="shared" si="16"/>
        <v>20</v>
      </c>
      <c r="B77" s="50">
        <f t="shared" si="10"/>
        <v>0.10070741617497482</v>
      </c>
      <c r="C77" s="50">
        <f t="shared" si="11"/>
        <v>0.10070741617497482</v>
      </c>
      <c r="D77" s="50">
        <f t="shared" si="7"/>
        <v>4.5114673837739948E-2</v>
      </c>
      <c r="E77" s="128">
        <f t="shared" si="8"/>
        <v>6.1462649792809958E-2</v>
      </c>
      <c r="F77" s="142"/>
      <c r="G77" s="49">
        <f t="shared" si="12"/>
        <v>20</v>
      </c>
      <c r="H77" s="50">
        <f t="shared" si="13"/>
        <v>0.2596863006766354</v>
      </c>
      <c r="I77" s="50">
        <f t="shared" si="14"/>
        <v>0.30599189670189714</v>
      </c>
      <c r="J77" s="50">
        <f t="shared" si="15"/>
        <v>0.11278668459434987</v>
      </c>
      <c r="K77" s="128">
        <f t="shared" si="9"/>
        <v>0.15365662448202491</v>
      </c>
      <c r="L77" s="142"/>
      <c r="P77" s="21"/>
      <c r="S77" s="34"/>
      <c r="T77" s="21"/>
      <c r="X77" s="21"/>
      <c r="Z77" s="34"/>
      <c r="AA77" s="21"/>
    </row>
    <row r="78" spans="1:28" s="14" customFormat="1">
      <c r="A78" s="49">
        <f t="shared" si="16"/>
        <v>21</v>
      </c>
      <c r="B78" s="50">
        <f t="shared" si="10"/>
        <v>9.8083936403546956E-2</v>
      </c>
      <c r="C78" s="50">
        <f t="shared" si="11"/>
        <v>0.10070741617497482</v>
      </c>
      <c r="D78" s="50">
        <f t="shared" si="7"/>
        <v>3.9233653855320273E-2</v>
      </c>
      <c r="E78" s="128">
        <f t="shared" si="8"/>
        <v>5.345055437339008E-2</v>
      </c>
      <c r="F78" s="142"/>
      <c r="G78" s="49">
        <f t="shared" si="12"/>
        <v>21</v>
      </c>
      <c r="H78" s="50">
        <f t="shared" si="13"/>
        <v>0.25042518147158305</v>
      </c>
      <c r="I78" s="50">
        <f t="shared" si="14"/>
        <v>0.30599189670189714</v>
      </c>
      <c r="J78" s="50">
        <f t="shared" si="15"/>
        <v>9.808413463830068E-2</v>
      </c>
      <c r="K78" s="128">
        <f t="shared" si="9"/>
        <v>0.13362638593347523</v>
      </c>
      <c r="L78" s="142"/>
      <c r="Q78" s="18"/>
      <c r="R78" s="18"/>
    </row>
    <row r="79" spans="1:28" s="14" customFormat="1">
      <c r="A79" s="49">
        <f t="shared" si="16"/>
        <v>22</v>
      </c>
      <c r="B79" s="50">
        <f t="shared" si="10"/>
        <v>9.5460456632119092E-2</v>
      </c>
      <c r="C79" s="50">
        <f t="shared" si="11"/>
        <v>0.10070741617497482</v>
      </c>
      <c r="D79" s="50">
        <f t="shared" si="7"/>
        <v>3.3352633872900599E-2</v>
      </c>
      <c r="E79" s="128">
        <f t="shared" si="8"/>
        <v>4.5438458953970209E-2</v>
      </c>
      <c r="F79" s="142"/>
      <c r="G79" s="49">
        <f t="shared" si="12"/>
        <v>22</v>
      </c>
      <c r="H79" s="50">
        <f t="shared" si="13"/>
        <v>0.24116406226653073</v>
      </c>
      <c r="I79" s="50">
        <f t="shared" si="14"/>
        <v>0.30599189670189714</v>
      </c>
      <c r="J79" s="50">
        <f t="shared" si="15"/>
        <v>8.33815846822515E-2</v>
      </c>
      <c r="K79" s="128">
        <f t="shared" si="9"/>
        <v>0.11359614738492553</v>
      </c>
      <c r="L79" s="142"/>
      <c r="Q79" s="24"/>
      <c r="R79" s="24"/>
    </row>
    <row r="80" spans="1:28" s="14" customFormat="1">
      <c r="A80" s="49">
        <f t="shared" si="16"/>
        <v>23</v>
      </c>
      <c r="B80" s="50">
        <f t="shared" si="10"/>
        <v>9.2836976860691214E-2</v>
      </c>
      <c r="C80" s="50">
        <f t="shared" si="11"/>
        <v>0.10070741617497482</v>
      </c>
      <c r="D80" s="50">
        <f t="shared" si="7"/>
        <v>2.8518918818857035E-2</v>
      </c>
      <c r="E80" s="128">
        <f t="shared" si="8"/>
        <v>3.8853175047597721E-2</v>
      </c>
      <c r="F80" s="142"/>
      <c r="G80" s="49">
        <f t="shared" si="12"/>
        <v>23</v>
      </c>
      <c r="H80" s="50">
        <f t="shared" si="13"/>
        <v>0.23190294306147835</v>
      </c>
      <c r="I80" s="50">
        <f t="shared" si="14"/>
        <v>0.30599189670189714</v>
      </c>
      <c r="J80" s="50">
        <f t="shared" si="15"/>
        <v>7.1297297047142591E-2</v>
      </c>
      <c r="K80" s="128">
        <f t="shared" si="9"/>
        <v>9.7132937618994303E-2</v>
      </c>
      <c r="L80" s="142"/>
      <c r="W80" s="21"/>
    </row>
    <row r="81" spans="1:12" s="14" customFormat="1">
      <c r="A81" s="49">
        <f t="shared" si="16"/>
        <v>24</v>
      </c>
      <c r="B81" s="50">
        <f t="shared" si="10"/>
        <v>9.021349708926335E-2</v>
      </c>
      <c r="C81" s="50">
        <f t="shared" si="11"/>
        <v>0.10070741617497482</v>
      </c>
      <c r="D81" s="50">
        <f t="shared" si="7"/>
        <v>2.3685203764813468E-2</v>
      </c>
      <c r="E81" s="128">
        <f t="shared" si="8"/>
        <v>3.2267891141225226E-2</v>
      </c>
      <c r="F81" s="142"/>
      <c r="G81" s="49">
        <f t="shared" si="12"/>
        <v>24</v>
      </c>
      <c r="H81" s="50">
        <f t="shared" si="13"/>
        <v>0.22264182385642603</v>
      </c>
      <c r="I81" s="50">
        <f t="shared" si="14"/>
        <v>0.30599189670189714</v>
      </c>
      <c r="J81" s="50">
        <f t="shared" si="15"/>
        <v>5.9213009412033675E-2</v>
      </c>
      <c r="K81" s="128">
        <f t="shared" si="9"/>
        <v>8.0669727853063061E-2</v>
      </c>
      <c r="L81" s="142"/>
    </row>
    <row r="82" spans="1:12" s="14" customFormat="1">
      <c r="A82" s="49">
        <f t="shared" si="16"/>
        <v>25</v>
      </c>
      <c r="B82" s="50">
        <f t="shared" si="10"/>
        <v>8.7590017317835486E-2</v>
      </c>
      <c r="C82" s="50">
        <f t="shared" si="11"/>
        <v>0.10070741617497482</v>
      </c>
      <c r="D82" s="50">
        <f t="shared" si="7"/>
        <v>2.0462727062117759E-2</v>
      </c>
      <c r="E82" s="128">
        <f t="shared" si="8"/>
        <v>2.7877701870310231E-2</v>
      </c>
      <c r="F82" s="142"/>
      <c r="G82" s="49">
        <f t="shared" si="12"/>
        <v>25</v>
      </c>
      <c r="H82" s="50">
        <f t="shared" si="13"/>
        <v>0.21338070465137368</v>
      </c>
      <c r="I82" s="50">
        <f t="shared" si="14"/>
        <v>0.30599189670189714</v>
      </c>
      <c r="J82" s="50">
        <f t="shared" si="15"/>
        <v>5.1156817655294395E-2</v>
      </c>
      <c r="K82" s="128">
        <f t="shared" si="9"/>
        <v>6.9694254675775572E-2</v>
      </c>
      <c r="L82" s="142"/>
    </row>
    <row r="83" spans="1:12" s="14" customFormat="1">
      <c r="A83" s="49">
        <f t="shared" si="16"/>
        <v>26</v>
      </c>
      <c r="B83" s="50">
        <f t="shared" si="10"/>
        <v>8.4966537546407622E-2</v>
      </c>
      <c r="C83" s="50">
        <f t="shared" si="11"/>
        <v>0.10070741617497482</v>
      </c>
      <c r="D83" s="50">
        <f t="shared" si="7"/>
        <v>1.724025035942205E-2</v>
      </c>
      <c r="E83" s="128">
        <f t="shared" si="8"/>
        <v>2.3487512599395233E-2</v>
      </c>
      <c r="F83" s="142"/>
      <c r="G83" s="49">
        <f t="shared" si="12"/>
        <v>26</v>
      </c>
      <c r="H83" s="50">
        <f t="shared" si="13"/>
        <v>0.20411958544632133</v>
      </c>
      <c r="I83" s="50">
        <f t="shared" si="14"/>
        <v>0.30599189670189714</v>
      </c>
      <c r="J83" s="50">
        <f t="shared" si="15"/>
        <v>4.3100625898555123E-2</v>
      </c>
      <c r="K83" s="128">
        <f t="shared" si="9"/>
        <v>5.8718781498488075E-2</v>
      </c>
      <c r="L83" s="142"/>
    </row>
    <row r="84" spans="1:12" s="14" customFormat="1">
      <c r="A84" s="49">
        <f t="shared" si="16"/>
        <v>27</v>
      </c>
      <c r="B84" s="50">
        <f t="shared" si="10"/>
        <v>8.2343057774979744E-2</v>
      </c>
      <c r="C84" s="50">
        <f t="shared" si="11"/>
        <v>0.10070741617497482</v>
      </c>
      <c r="D84" s="50">
        <f t="shared" si="7"/>
        <v>1.4823392832400268E-2</v>
      </c>
      <c r="E84" s="128">
        <f t="shared" si="8"/>
        <v>2.0194870646208986E-2</v>
      </c>
      <c r="F84" s="142"/>
      <c r="G84" s="49">
        <f t="shared" si="12"/>
        <v>27</v>
      </c>
      <c r="H84" s="50">
        <f t="shared" si="13"/>
        <v>0.19485846624126896</v>
      </c>
      <c r="I84" s="50">
        <f t="shared" si="14"/>
        <v>0.30599189670189714</v>
      </c>
      <c r="J84" s="50">
        <f t="shared" si="15"/>
        <v>3.7058482081000668E-2</v>
      </c>
      <c r="K84" s="128">
        <f t="shared" si="9"/>
        <v>5.0487176615522461E-2</v>
      </c>
      <c r="L84" s="142"/>
    </row>
    <row r="85" spans="1:12" s="14" customFormat="1">
      <c r="A85" s="49">
        <f t="shared" si="16"/>
        <v>28</v>
      </c>
      <c r="B85" s="50">
        <f t="shared" si="10"/>
        <v>7.9719578003551866E-2</v>
      </c>
      <c r="C85" s="50">
        <f t="shared" si="11"/>
        <v>0.10070741617497482</v>
      </c>
      <c r="D85" s="50">
        <f t="shared" si="7"/>
        <v>1.2406535305378484E-2</v>
      </c>
      <c r="E85" s="128">
        <f t="shared" si="8"/>
        <v>1.6902228693022738E-2</v>
      </c>
      <c r="F85" s="142"/>
      <c r="G85" s="49">
        <f t="shared" si="12"/>
        <v>28</v>
      </c>
      <c r="H85" s="50">
        <f t="shared" si="13"/>
        <v>0.18559734703621664</v>
      </c>
      <c r="I85" s="50">
        <f t="shared" si="14"/>
        <v>0.30599189670189714</v>
      </c>
      <c r="J85" s="50">
        <f t="shared" si="15"/>
        <v>3.1016338263446214E-2</v>
      </c>
      <c r="K85" s="128">
        <f t="shared" si="9"/>
        <v>4.2255571732556847E-2</v>
      </c>
      <c r="L85" s="142"/>
    </row>
    <row r="86" spans="1:12" s="14" customFormat="1">
      <c r="A86" s="49">
        <f t="shared" si="16"/>
        <v>29</v>
      </c>
      <c r="B86" s="50">
        <f t="shared" si="10"/>
        <v>7.7096098232124002E-2</v>
      </c>
      <c r="C86" s="50">
        <f t="shared" si="11"/>
        <v>0.10070741617497482</v>
      </c>
      <c r="D86" s="50">
        <f t="shared" si="7"/>
        <v>1.0634173118895845E-2</v>
      </c>
      <c r="E86" s="128">
        <f t="shared" si="8"/>
        <v>1.4487624594019491E-2</v>
      </c>
      <c r="F86" s="142"/>
      <c r="G86" s="49">
        <f t="shared" si="12"/>
        <v>29</v>
      </c>
      <c r="H86" s="50">
        <f t="shared" si="13"/>
        <v>0.17633622783116429</v>
      </c>
      <c r="I86" s="50">
        <f t="shared" si="14"/>
        <v>0.30599189670189714</v>
      </c>
      <c r="J86" s="50">
        <f t="shared" si="15"/>
        <v>2.6585432797239614E-2</v>
      </c>
      <c r="K86" s="128">
        <f t="shared" si="9"/>
        <v>3.6219061485048727E-2</v>
      </c>
      <c r="L86" s="142"/>
    </row>
    <row r="87" spans="1:12" s="14" customFormat="1">
      <c r="A87" s="49">
        <f t="shared" si="16"/>
        <v>30</v>
      </c>
      <c r="B87" s="50">
        <f t="shared" si="10"/>
        <v>7.4472618460696138E-2</v>
      </c>
      <c r="C87" s="50">
        <f t="shared" si="11"/>
        <v>0.10070741617497482</v>
      </c>
      <c r="D87" s="50">
        <f t="shared" si="7"/>
        <v>8.8618109324132034E-3</v>
      </c>
      <c r="E87" s="128">
        <f t="shared" si="8"/>
        <v>1.2073020495016242E-2</v>
      </c>
      <c r="F87" s="142"/>
      <c r="G87" s="49">
        <f t="shared" si="12"/>
        <v>30</v>
      </c>
      <c r="H87" s="50">
        <f t="shared" si="13"/>
        <v>0.16707510862611194</v>
      </c>
      <c r="I87" s="50">
        <f t="shared" si="14"/>
        <v>0.30599189670189714</v>
      </c>
      <c r="J87" s="50">
        <f t="shared" si="15"/>
        <v>2.215452733103301E-2</v>
      </c>
      <c r="K87" s="128">
        <f t="shared" si="9"/>
        <v>3.0182551237540607E-2</v>
      </c>
      <c r="L87" s="142"/>
    </row>
    <row r="88" spans="1:12" s="14" customFormat="1">
      <c r="A88" s="49">
        <f t="shared" si="16"/>
        <v>31</v>
      </c>
      <c r="B88" s="50">
        <f t="shared" si="10"/>
        <v>7.1849138689268274E-2</v>
      </c>
      <c r="C88" s="50">
        <f t="shared" si="11"/>
        <v>0.10070741617497482</v>
      </c>
      <c r="D88" s="50">
        <f t="shared" si="7"/>
        <v>7.895067921604491E-3</v>
      </c>
      <c r="E88" s="128">
        <f t="shared" si="8"/>
        <v>1.0755963713741743E-2</v>
      </c>
      <c r="F88" s="142"/>
      <c r="G88" s="49">
        <f t="shared" si="12"/>
        <v>31</v>
      </c>
      <c r="H88" s="50">
        <f t="shared" si="13"/>
        <v>0.15781398942105962</v>
      </c>
      <c r="I88" s="50">
        <f t="shared" si="14"/>
        <v>0.30599189670189714</v>
      </c>
      <c r="J88" s="50">
        <f t="shared" si="15"/>
        <v>1.9737669804011228E-2</v>
      </c>
      <c r="K88" s="128">
        <f t="shared" si="9"/>
        <v>2.688990928435436E-2</v>
      </c>
      <c r="L88" s="142"/>
    </row>
    <row r="89" spans="1:12" s="14" customFormat="1">
      <c r="A89" s="49">
        <f t="shared" si="16"/>
        <v>32</v>
      </c>
      <c r="B89" s="50">
        <f t="shared" si="10"/>
        <v>6.922565891784041E-2</v>
      </c>
      <c r="C89" s="50">
        <f t="shared" si="11"/>
        <v>0.10070741617497482</v>
      </c>
      <c r="D89" s="50">
        <f t="shared" ref="D89:D120" si="17">IF(A89&lt;$R$62,INDEX(T$35:T$62,MATCH(A89,$R$35:$R$62))+(A89-INDEX($R$35:$R$62,MATCH(A89,$R$35:$R$62)))*(INDEX(T$35:T$62,MATCH(A89,$R$35:$R$62)+1)-INDEX(T$35:T$62,MATCH(A89,$R$35:$R$62)))/(INDEX($R$35:$R$62,MATCH(A89,$R$35:$R$62)+1)-INDEX($R$35:$R$62,MATCH(A89,$R$35:$R$62))),"")</f>
        <v>6.9283249107957769E-3</v>
      </c>
      <c r="E89" s="128">
        <f t="shared" ref="E89:E120" si="18">IF($A89&lt;$R$62,INDEX(V$35:V$62,MATCH($A89,$R$35:$R$62))+($A89-INDEX($R$35:$R$62,MATCH($A89,$R$35:$R$62)))*(INDEX(V$35:V$62,MATCH($A89,$R$35:$R$62)+1)-INDEX(V$35:V$62,MATCH($A89,$R$35:$R$62)))/(INDEX($R$35:$R$62,MATCH($A89,$R$35:$R$62)+1)-INDEX($R$35:$R$62,MATCH($A89,$R$35:$R$62))),"")</f>
        <v>9.4389069324672427E-3</v>
      </c>
      <c r="F89" s="142"/>
      <c r="G89" s="49">
        <f t="shared" si="12"/>
        <v>32</v>
      </c>
      <c r="H89" s="50">
        <f t="shared" si="13"/>
        <v>0.14855287021600724</v>
      </c>
      <c r="I89" s="50">
        <f t="shared" si="14"/>
        <v>0.30599189670189714</v>
      </c>
      <c r="J89" s="50">
        <f t="shared" si="15"/>
        <v>1.7320812276989443E-2</v>
      </c>
      <c r="K89" s="128">
        <f t="shared" ref="K89:K120" si="19">IF($G89&lt;$R$62,INDEX(W$35:W$62,MATCH($G89,$R$35:$R$62))+($G89-INDEX($R$35:$R$62,MATCH($G89,$R$35:$R$62)))*(INDEX(W$35:W$62,MATCH($G89,$R$35:$R$62)+1)-INDEX(W$35:W$62,MATCH($G89,$R$35:$R$62)))/(INDEX($R$35:$R$62,MATCH($G89,$R$35:$R$62)+1)-INDEX($R$35:$R$62,MATCH($G89,$R$35:$R$62))),"")</f>
        <v>2.3597267331168112E-2</v>
      </c>
      <c r="L89" s="142"/>
    </row>
    <row r="90" spans="1:12" s="14" customFormat="1">
      <c r="A90" s="49">
        <f t="shared" si="16"/>
        <v>33</v>
      </c>
      <c r="B90" s="50">
        <f t="shared" ref="B90:B121" si="20">IF(A90&lt;=C$20+B$50,IF(A90&lt;=C$20,A90/C$20*C$24,(C$20+B$50-A90)/(B$50)*C$24),"")</f>
        <v>6.6602179146412532E-2</v>
      </c>
      <c r="C90" s="50">
        <f t="shared" ref="C90:C121" si="21">IF(A90="","",IF(A90&lt;=C$20,A90/C$20*C$24,IF(A90&lt;=C$6,C$24,(C$6+C$20-A90)/C$20*C$24)))</f>
        <v>0.10070741617497482</v>
      </c>
      <c r="D90" s="50">
        <f t="shared" si="17"/>
        <v>5.9615818999870646E-3</v>
      </c>
      <c r="E90" s="128">
        <f t="shared" si="18"/>
        <v>8.1218501511927457E-3</v>
      </c>
      <c r="F90" s="142"/>
      <c r="G90" s="49">
        <f t="shared" ref="G90:G121" si="22">IF(G89&lt;=I$20+$C$6-$C$9,G89+$C$9,"")</f>
        <v>33</v>
      </c>
      <c r="H90" s="50">
        <f t="shared" ref="H90:H121" si="23">IF(G90&lt;=I$20+H$50,IF(G90&lt;=I$20,G90/I$20*I$24,(I$20+H$50-G90)/(H$50)*I$24),"")</f>
        <v>0.1392917510109549</v>
      </c>
      <c r="I90" s="50">
        <f t="shared" ref="I90:I121" si="24">IF(G90="","",IF(G90&lt;=I$20,G90/I$20*I$24,IF(G90&lt;=C$6,I$24,(C$6+I$20-G90)/I$20*I$24)))</f>
        <v>0.30599189670189714</v>
      </c>
      <c r="J90" s="50">
        <f t="shared" ref="J90:J121" si="25">IF(G90&lt;R$62,INDEX(U$35:U$62,MATCH(G90,R$35:R$62))+(G90-INDEX(R$35:R$62,MATCH(G90,R$35:R$62)))*(INDEX(U$35:U$62,MATCH(G90,R$35:R$62)+1)-INDEX(U$35:U$62,MATCH(G90,R$35:R$62)))/(INDEX(R$35:R$62,MATCH(G90,R$35:R$62)+1)-INDEX(R$35:R$62,MATCH(G90,R$35:R$62))),"")</f>
        <v>1.4903954749967661E-2</v>
      </c>
      <c r="K90" s="128">
        <f t="shared" si="19"/>
        <v>2.0304625377981861E-2</v>
      </c>
      <c r="L90" s="142"/>
    </row>
    <row r="91" spans="1:12" s="14" customFormat="1">
      <c r="A91" s="49">
        <f t="shared" ref="A91:A122" si="26">IF(A90&lt;=C$20+C$6-C$9,A90+C$9,"")</f>
        <v>34</v>
      </c>
      <c r="B91" s="50">
        <f t="shared" si="20"/>
        <v>6.3978699374984668E-2</v>
      </c>
      <c r="C91" s="50">
        <f t="shared" si="21"/>
        <v>0.10070741617497482</v>
      </c>
      <c r="D91" s="50">
        <f t="shared" si="17"/>
        <v>4.9948388891783513E-3</v>
      </c>
      <c r="E91" s="128">
        <f t="shared" si="18"/>
        <v>6.8047933699182453E-3</v>
      </c>
      <c r="F91" s="142"/>
      <c r="G91" s="49">
        <f t="shared" si="22"/>
        <v>34</v>
      </c>
      <c r="H91" s="50">
        <f t="shared" si="23"/>
        <v>0.13003063180590257</v>
      </c>
      <c r="I91" s="50">
        <f t="shared" si="24"/>
        <v>0.30599189670189714</v>
      </c>
      <c r="J91" s="50">
        <f t="shared" si="25"/>
        <v>1.248709722294588E-2</v>
      </c>
      <c r="K91" s="128">
        <f t="shared" si="19"/>
        <v>1.7011983424795613E-2</v>
      </c>
      <c r="L91" s="142"/>
    </row>
    <row r="92" spans="1:12" s="14" customFormat="1">
      <c r="A92" s="49">
        <f t="shared" si="26"/>
        <v>35</v>
      </c>
      <c r="B92" s="50">
        <f t="shared" si="20"/>
        <v>6.1355219603556804E-2</v>
      </c>
      <c r="C92" s="50">
        <f t="shared" si="21"/>
        <v>0.10070741617497482</v>
      </c>
      <c r="D92" s="50">
        <f t="shared" si="17"/>
        <v>4.0280958783696381E-3</v>
      </c>
      <c r="E92" s="128">
        <f t="shared" si="18"/>
        <v>5.4877365886437466E-3</v>
      </c>
      <c r="F92" s="142"/>
      <c r="G92" s="49">
        <f t="shared" si="22"/>
        <v>35</v>
      </c>
      <c r="H92" s="50">
        <f t="shared" si="23"/>
        <v>0.1207695126008502</v>
      </c>
      <c r="I92" s="50">
        <f t="shared" si="24"/>
        <v>0.30599189670189714</v>
      </c>
      <c r="J92" s="50">
        <f t="shared" si="25"/>
        <v>1.0070239695924096E-2</v>
      </c>
      <c r="K92" s="128">
        <f t="shared" si="19"/>
        <v>1.3719341471609367E-2</v>
      </c>
      <c r="L92" s="142"/>
    </row>
    <row r="93" spans="1:12">
      <c r="A93" s="49">
        <f t="shared" si="26"/>
        <v>36</v>
      </c>
      <c r="B93" s="50">
        <f t="shared" si="20"/>
        <v>5.8731739832128933E-2</v>
      </c>
      <c r="C93" s="50">
        <f t="shared" si="21"/>
        <v>0.10070741617497482</v>
      </c>
      <c r="D93" s="50">
        <f t="shared" si="17"/>
        <v>3.5769491399922386E-3</v>
      </c>
      <c r="E93" s="128">
        <f t="shared" si="18"/>
        <v>4.8731100907156467E-3</v>
      </c>
      <c r="F93" s="142"/>
      <c r="G93" s="49">
        <f t="shared" si="22"/>
        <v>36</v>
      </c>
      <c r="H93" s="50">
        <f t="shared" si="23"/>
        <v>0.11150839339579786</v>
      </c>
      <c r="I93" s="50">
        <f t="shared" si="24"/>
        <v>0.30599189670189714</v>
      </c>
      <c r="J93" s="50">
        <f t="shared" si="25"/>
        <v>8.9423728499805968E-3</v>
      </c>
      <c r="K93" s="128">
        <f t="shared" si="19"/>
        <v>1.2182775226789119E-2</v>
      </c>
      <c r="L93" s="142"/>
    </row>
    <row r="94" spans="1:12">
      <c r="A94" s="49">
        <f t="shared" si="26"/>
        <v>37</v>
      </c>
      <c r="B94" s="50">
        <f t="shared" si="20"/>
        <v>5.6108260060701069E-2</v>
      </c>
      <c r="C94" s="50">
        <f t="shared" si="21"/>
        <v>0.10070741617497482</v>
      </c>
      <c r="D94" s="50">
        <f t="shared" si="17"/>
        <v>3.125802401614839E-3</v>
      </c>
      <c r="E94" s="128">
        <f t="shared" si="18"/>
        <v>4.2584835927875469E-3</v>
      </c>
      <c r="F94" s="142"/>
      <c r="G94" s="49">
        <f t="shared" si="22"/>
        <v>37</v>
      </c>
      <c r="H94" s="50">
        <f t="shared" si="23"/>
        <v>0.10224727419074552</v>
      </c>
      <c r="I94" s="50">
        <f t="shared" si="24"/>
        <v>0.30599189670189714</v>
      </c>
      <c r="J94" s="50">
        <f t="shared" si="25"/>
        <v>7.8145060040370994E-3</v>
      </c>
      <c r="K94" s="128">
        <f t="shared" si="19"/>
        <v>1.0646208981968868E-2</v>
      </c>
      <c r="L94" s="142"/>
    </row>
    <row r="95" spans="1:12" s="14" customFormat="1">
      <c r="A95" s="49">
        <f t="shared" si="26"/>
        <v>38</v>
      </c>
      <c r="B95" s="50">
        <f t="shared" si="20"/>
        <v>5.3484780289273205E-2</v>
      </c>
      <c r="C95" s="50">
        <f t="shared" si="21"/>
        <v>0.10070741617497482</v>
      </c>
      <c r="D95" s="50">
        <f t="shared" si="17"/>
        <v>2.6746556632374395E-3</v>
      </c>
      <c r="E95" s="128">
        <f t="shared" si="18"/>
        <v>3.6438570948594475E-3</v>
      </c>
      <c r="F95" s="142"/>
      <c r="G95" s="49">
        <f t="shared" si="22"/>
        <v>38</v>
      </c>
      <c r="H95" s="50">
        <f t="shared" si="23"/>
        <v>9.2986154985693167E-2</v>
      </c>
      <c r="I95" s="50">
        <f t="shared" si="24"/>
        <v>0.30599189670189714</v>
      </c>
      <c r="J95" s="50">
        <f t="shared" si="25"/>
        <v>6.6866391580935993E-3</v>
      </c>
      <c r="K95" s="128">
        <f t="shared" si="19"/>
        <v>9.1096427371486193E-3</v>
      </c>
      <c r="L95" s="142"/>
    </row>
    <row r="96" spans="1:12">
      <c r="A96" s="49">
        <f t="shared" si="26"/>
        <v>39</v>
      </c>
      <c r="B96" s="50">
        <f t="shared" si="20"/>
        <v>5.0861300517845334E-2</v>
      </c>
      <c r="C96" s="50">
        <f t="shared" si="21"/>
        <v>0.10070741617497482</v>
      </c>
      <c r="D96" s="50">
        <f t="shared" si="17"/>
        <v>2.22350892486004E-3</v>
      </c>
      <c r="E96" s="128">
        <f t="shared" si="18"/>
        <v>3.029230596931348E-3</v>
      </c>
      <c r="F96" s="142"/>
      <c r="G96" s="49">
        <f t="shared" si="22"/>
        <v>39</v>
      </c>
      <c r="H96" s="50">
        <f t="shared" si="23"/>
        <v>8.3725035780640833E-2</v>
      </c>
      <c r="I96" s="50">
        <f t="shared" si="24"/>
        <v>0.30599189670189714</v>
      </c>
      <c r="J96" s="50">
        <f t="shared" si="25"/>
        <v>5.5587723121501009E-3</v>
      </c>
      <c r="K96" s="128">
        <f t="shared" si="19"/>
        <v>7.5730764923283705E-3</v>
      </c>
      <c r="L96" s="142"/>
    </row>
    <row r="97" spans="1:12">
      <c r="A97" s="49">
        <f t="shared" si="26"/>
        <v>40</v>
      </c>
      <c r="B97" s="50">
        <f t="shared" si="20"/>
        <v>4.8237820746417463E-2</v>
      </c>
      <c r="C97" s="50">
        <f t="shared" si="21"/>
        <v>0.10070741617497482</v>
      </c>
      <c r="D97" s="50">
        <f t="shared" si="17"/>
        <v>1.7723621864826405E-3</v>
      </c>
      <c r="E97" s="128">
        <f t="shared" si="18"/>
        <v>2.4146040990032482E-3</v>
      </c>
      <c r="F97" s="142"/>
      <c r="G97" s="49">
        <f t="shared" si="22"/>
        <v>40</v>
      </c>
      <c r="H97" s="50">
        <f t="shared" si="23"/>
        <v>7.4463916575588471E-2</v>
      </c>
      <c r="I97" s="50">
        <f t="shared" si="24"/>
        <v>0.30599189670189714</v>
      </c>
      <c r="J97" s="50">
        <f t="shared" si="25"/>
        <v>4.4309054662066017E-3</v>
      </c>
      <c r="K97" s="128">
        <f t="shared" si="19"/>
        <v>6.0365102475081209E-3</v>
      </c>
      <c r="L97" s="142"/>
    </row>
    <row r="98" spans="1:12" s="14" customFormat="1">
      <c r="A98" s="49">
        <f t="shared" si="26"/>
        <v>41</v>
      </c>
      <c r="B98" s="50">
        <f t="shared" si="20"/>
        <v>4.5614340974989592E-2</v>
      </c>
      <c r="C98" s="50">
        <f t="shared" si="21"/>
        <v>0.10070741617497482</v>
      </c>
      <c r="D98" s="50">
        <f t="shared" si="17"/>
        <v>1.5790135843208979E-3</v>
      </c>
      <c r="E98" s="128">
        <f t="shared" si="18"/>
        <v>2.1511927427483486E-3</v>
      </c>
      <c r="F98" s="142"/>
      <c r="G98" s="49">
        <f t="shared" si="22"/>
        <v>41</v>
      </c>
      <c r="H98" s="50">
        <f t="shared" si="23"/>
        <v>6.5202797370536122E-2</v>
      </c>
      <c r="I98" s="50">
        <f t="shared" si="24"/>
        <v>0.30599189670189714</v>
      </c>
      <c r="J98" s="50">
        <f t="shared" si="25"/>
        <v>3.9475339608022455E-3</v>
      </c>
      <c r="K98" s="128">
        <f t="shared" si="19"/>
        <v>5.3779818568708716E-3</v>
      </c>
      <c r="L98" s="142"/>
    </row>
    <row r="99" spans="1:12" s="14" customFormat="1">
      <c r="A99" s="49">
        <f t="shared" si="26"/>
        <v>42</v>
      </c>
      <c r="B99" s="50">
        <f t="shared" si="20"/>
        <v>4.2990861203561728E-2</v>
      </c>
      <c r="C99" s="50">
        <f t="shared" si="21"/>
        <v>0.10070741617497482</v>
      </c>
      <c r="D99" s="50">
        <f t="shared" si="17"/>
        <v>1.3856649821591552E-3</v>
      </c>
      <c r="E99" s="128">
        <f t="shared" si="18"/>
        <v>1.8877813864934486E-3</v>
      </c>
      <c r="F99" s="142"/>
      <c r="G99" s="49">
        <f t="shared" si="22"/>
        <v>42</v>
      </c>
      <c r="H99" s="50">
        <f t="shared" si="23"/>
        <v>5.5941678165483781E-2</v>
      </c>
      <c r="I99" s="50">
        <f t="shared" si="24"/>
        <v>0.30599189670189714</v>
      </c>
      <c r="J99" s="50">
        <f t="shared" si="25"/>
        <v>3.4641624553978885E-3</v>
      </c>
      <c r="K99" s="128">
        <f t="shared" si="19"/>
        <v>4.7194534662336213E-3</v>
      </c>
      <c r="L99" s="142"/>
    </row>
    <row r="100" spans="1:12">
      <c r="A100" s="49">
        <f t="shared" si="26"/>
        <v>43</v>
      </c>
      <c r="B100" s="50">
        <f t="shared" si="20"/>
        <v>4.0367381432133864E-2</v>
      </c>
      <c r="C100" s="50">
        <f t="shared" si="21"/>
        <v>0.10070741617497482</v>
      </c>
      <c r="D100" s="50">
        <f t="shared" si="17"/>
        <v>1.1923163799974128E-3</v>
      </c>
      <c r="E100" s="128">
        <f t="shared" si="18"/>
        <v>1.6243700302385488E-3</v>
      </c>
      <c r="F100" s="142"/>
      <c r="G100" s="49">
        <f t="shared" si="22"/>
        <v>43</v>
      </c>
      <c r="H100" s="50">
        <f t="shared" si="23"/>
        <v>4.668055896043144E-2</v>
      </c>
      <c r="I100" s="50">
        <f t="shared" si="24"/>
        <v>0.30599189670189714</v>
      </c>
      <c r="J100" s="50">
        <f t="shared" si="25"/>
        <v>2.9807909499935323E-3</v>
      </c>
      <c r="K100" s="128">
        <f t="shared" si="19"/>
        <v>4.0609250755963729E-3</v>
      </c>
      <c r="L100" s="142"/>
    </row>
    <row r="101" spans="1:12" s="14" customFormat="1">
      <c r="A101" s="49">
        <f t="shared" si="26"/>
        <v>44</v>
      </c>
      <c r="B101" s="50">
        <f t="shared" si="20"/>
        <v>3.7743901660705993E-2</v>
      </c>
      <c r="C101" s="50">
        <f t="shared" si="21"/>
        <v>0.10070741617497482</v>
      </c>
      <c r="D101" s="50">
        <f t="shared" si="17"/>
        <v>9.9896777783567013E-4</v>
      </c>
      <c r="E101" s="128">
        <f t="shared" si="18"/>
        <v>1.3609586739836491E-3</v>
      </c>
      <c r="F101" s="142"/>
      <c r="G101" s="49">
        <f t="shared" si="22"/>
        <v>44</v>
      </c>
      <c r="H101" s="50">
        <f t="shared" si="23"/>
        <v>3.7419439755379091E-2</v>
      </c>
      <c r="I101" s="50">
        <f t="shared" si="24"/>
        <v>0.30599189670189714</v>
      </c>
      <c r="J101" s="50">
        <f t="shared" si="25"/>
        <v>2.4974194445891757E-3</v>
      </c>
      <c r="K101" s="128">
        <f t="shared" si="19"/>
        <v>3.4023966849591226E-3</v>
      </c>
      <c r="L101" s="142"/>
    </row>
    <row r="102" spans="1:12">
      <c r="A102" s="49">
        <f t="shared" si="26"/>
        <v>45</v>
      </c>
      <c r="B102" s="50">
        <f t="shared" si="20"/>
        <v>3.5120421889278129E-2</v>
      </c>
      <c r="C102" s="50">
        <f t="shared" si="21"/>
        <v>0.10070741617497482</v>
      </c>
      <c r="D102" s="50">
        <f t="shared" si="17"/>
        <v>8.0561917567392759E-4</v>
      </c>
      <c r="E102" s="128">
        <f t="shared" si="18"/>
        <v>1.0975473177287493E-3</v>
      </c>
      <c r="F102" s="142"/>
      <c r="G102" s="49">
        <f t="shared" si="22"/>
        <v>45</v>
      </c>
      <c r="H102" s="50">
        <f t="shared" si="23"/>
        <v>2.8158320550326747E-2</v>
      </c>
      <c r="I102" s="50">
        <f t="shared" si="24"/>
        <v>0.30599189670189714</v>
      </c>
      <c r="J102" s="50">
        <f t="shared" si="25"/>
        <v>2.014047939184819E-3</v>
      </c>
      <c r="K102" s="128">
        <f t="shared" si="19"/>
        <v>2.7438682943218733E-3</v>
      </c>
      <c r="L102" s="142"/>
    </row>
    <row r="103" spans="1:12">
      <c r="A103" s="49">
        <f t="shared" si="26"/>
        <v>46</v>
      </c>
      <c r="B103" s="50">
        <f t="shared" si="20"/>
        <v>3.2496942117850258E-2</v>
      </c>
      <c r="C103" s="50">
        <f t="shared" si="21"/>
        <v>0.10070741617497482</v>
      </c>
      <c r="D103" s="50">
        <f t="shared" si="17"/>
        <v>6.4449534053914205E-4</v>
      </c>
      <c r="E103" s="128">
        <f t="shared" si="18"/>
        <v>8.7803785418299942E-4</v>
      </c>
      <c r="F103" s="142"/>
      <c r="G103" s="49">
        <f t="shared" si="22"/>
        <v>46</v>
      </c>
      <c r="H103" s="50">
        <f t="shared" si="23"/>
        <v>1.8897201345274402E-2</v>
      </c>
      <c r="I103" s="50">
        <f t="shared" si="24"/>
        <v>0.30599189670189714</v>
      </c>
      <c r="J103" s="50">
        <f t="shared" si="25"/>
        <v>1.6112383513478552E-3</v>
      </c>
      <c r="K103" s="128">
        <f t="shared" si="19"/>
        <v>2.1950946354574986E-3</v>
      </c>
      <c r="L103" s="142"/>
    </row>
    <row r="104" spans="1:12">
      <c r="A104" s="49">
        <f t="shared" si="26"/>
        <v>47</v>
      </c>
      <c r="B104" s="50">
        <f t="shared" si="20"/>
        <v>2.9873462346422387E-2</v>
      </c>
      <c r="C104" s="50">
        <f t="shared" si="21"/>
        <v>0.10070741617497482</v>
      </c>
      <c r="D104" s="50">
        <f t="shared" si="17"/>
        <v>4.8337150540435657E-4</v>
      </c>
      <c r="E104" s="128">
        <f t="shared" si="18"/>
        <v>6.5852839063724957E-4</v>
      </c>
      <c r="F104" s="142"/>
      <c r="G104" s="49">
        <f t="shared" si="22"/>
        <v>47</v>
      </c>
      <c r="H104" s="50">
        <f t="shared" si="23"/>
        <v>9.6360821402220534E-3</v>
      </c>
      <c r="I104" s="50">
        <f t="shared" si="24"/>
        <v>0.30599189670189714</v>
      </c>
      <c r="J104" s="50">
        <f t="shared" si="25"/>
        <v>1.2084287635108913E-3</v>
      </c>
      <c r="K104" s="128">
        <f t="shared" si="19"/>
        <v>1.646320976593124E-3</v>
      </c>
      <c r="L104" s="142"/>
    </row>
    <row r="105" spans="1:12">
      <c r="A105" s="49">
        <f t="shared" si="26"/>
        <v>48</v>
      </c>
      <c r="B105" s="50">
        <f t="shared" si="20"/>
        <v>2.724998257499452E-2</v>
      </c>
      <c r="C105" s="50">
        <f t="shared" si="21"/>
        <v>0.10070741617497482</v>
      </c>
      <c r="D105" s="50">
        <f t="shared" si="17"/>
        <v>3.2224767026957108E-4</v>
      </c>
      <c r="E105" s="128">
        <f t="shared" si="18"/>
        <v>4.3901892709149971E-4</v>
      </c>
      <c r="F105" s="142"/>
      <c r="G105" s="49">
        <f t="shared" si="22"/>
        <v>48</v>
      </c>
      <c r="H105" s="50">
        <f t="shared" si="23"/>
        <v>3.7496293516970698E-4</v>
      </c>
      <c r="I105" s="50">
        <f t="shared" si="24"/>
        <v>0.30599189670189714</v>
      </c>
      <c r="J105" s="50">
        <f t="shared" si="25"/>
        <v>8.056191756739277E-4</v>
      </c>
      <c r="K105" s="128">
        <f t="shared" si="19"/>
        <v>1.0975473177287491E-3</v>
      </c>
      <c r="L105" s="142"/>
    </row>
    <row r="106" spans="1:12">
      <c r="A106" s="49">
        <f t="shared" si="26"/>
        <v>49</v>
      </c>
      <c r="B106" s="50">
        <f t="shared" si="20"/>
        <v>2.4626502803566652E-2</v>
      </c>
      <c r="C106" s="50">
        <f t="shared" si="21"/>
        <v>0.10070741617497482</v>
      </c>
      <c r="D106" s="50">
        <f t="shared" si="17"/>
        <v>1.6112383513478554E-4</v>
      </c>
      <c r="E106" s="128">
        <f t="shared" si="18"/>
        <v>2.1950946354574986E-4</v>
      </c>
      <c r="F106" s="142"/>
      <c r="G106" s="49">
        <f t="shared" si="22"/>
        <v>49</v>
      </c>
      <c r="H106" s="50" t="str">
        <f t="shared" si="23"/>
        <v/>
      </c>
      <c r="I106" s="50">
        <f t="shared" si="24"/>
        <v>0.30599189670189714</v>
      </c>
      <c r="J106" s="50">
        <f t="shared" si="25"/>
        <v>4.0280958783696385E-4</v>
      </c>
      <c r="K106" s="128">
        <f t="shared" si="19"/>
        <v>5.4877365886437475E-4</v>
      </c>
      <c r="L106" s="142"/>
    </row>
    <row r="107" spans="1:12">
      <c r="A107" s="49">
        <f t="shared" si="26"/>
        <v>50</v>
      </c>
      <c r="B107" s="50">
        <f t="shared" si="20"/>
        <v>2.2003023032138788E-2</v>
      </c>
      <c r="C107" s="50">
        <f t="shared" si="21"/>
        <v>0.10070741617497482</v>
      </c>
      <c r="D107" s="50" t="str">
        <f t="shared" si="17"/>
        <v/>
      </c>
      <c r="E107" s="128" t="str">
        <f t="shared" si="18"/>
        <v/>
      </c>
      <c r="F107" s="142"/>
      <c r="G107" s="49">
        <f t="shared" si="22"/>
        <v>50</v>
      </c>
      <c r="H107" s="50" t="str">
        <f t="shared" si="23"/>
        <v/>
      </c>
      <c r="I107" s="50">
        <f t="shared" si="24"/>
        <v>0.30599189670189714</v>
      </c>
      <c r="J107" s="50" t="str">
        <f t="shared" si="25"/>
        <v/>
      </c>
      <c r="K107" s="128" t="str">
        <f t="shared" si="19"/>
        <v/>
      </c>
      <c r="L107" s="142"/>
    </row>
    <row r="108" spans="1:12">
      <c r="A108" s="49">
        <f t="shared" si="26"/>
        <v>51</v>
      </c>
      <c r="B108" s="50">
        <f t="shared" si="20"/>
        <v>1.9379543260710917E-2</v>
      </c>
      <c r="C108" s="50">
        <f t="shared" si="21"/>
        <v>0.10070741617497482</v>
      </c>
      <c r="D108" s="50" t="str">
        <f t="shared" si="17"/>
        <v/>
      </c>
      <c r="E108" s="128" t="str">
        <f t="shared" si="18"/>
        <v/>
      </c>
      <c r="F108" s="142"/>
      <c r="G108" s="49">
        <f t="shared" si="22"/>
        <v>51</v>
      </c>
      <c r="H108" s="50" t="str">
        <f t="shared" si="23"/>
        <v/>
      </c>
      <c r="I108" s="50">
        <f t="shared" si="24"/>
        <v>0.30599189670189714</v>
      </c>
      <c r="J108" s="50" t="str">
        <f t="shared" si="25"/>
        <v/>
      </c>
      <c r="K108" s="128" t="str">
        <f t="shared" si="19"/>
        <v/>
      </c>
      <c r="L108" s="142"/>
    </row>
    <row r="109" spans="1:12">
      <c r="A109" s="49">
        <f t="shared" si="26"/>
        <v>52</v>
      </c>
      <c r="B109" s="50">
        <f t="shared" si="20"/>
        <v>1.675606348928305E-2</v>
      </c>
      <c r="C109" s="50">
        <f t="shared" si="21"/>
        <v>0.10070741617497482</v>
      </c>
      <c r="D109" s="50" t="str">
        <f t="shared" si="17"/>
        <v/>
      </c>
      <c r="E109" s="128" t="str">
        <f t="shared" si="18"/>
        <v/>
      </c>
      <c r="F109" s="142"/>
      <c r="G109" s="49">
        <f t="shared" si="22"/>
        <v>52</v>
      </c>
      <c r="H109" s="50" t="str">
        <f t="shared" si="23"/>
        <v/>
      </c>
      <c r="I109" s="50">
        <f t="shared" si="24"/>
        <v>0.30599189670189714</v>
      </c>
      <c r="J109" s="50" t="str">
        <f t="shared" si="25"/>
        <v/>
      </c>
      <c r="K109" s="128" t="str">
        <f t="shared" si="19"/>
        <v/>
      </c>
      <c r="L109" s="142"/>
    </row>
    <row r="110" spans="1:12">
      <c r="A110" s="49">
        <f t="shared" si="26"/>
        <v>53</v>
      </c>
      <c r="B110" s="50">
        <f t="shared" si="20"/>
        <v>1.4132583717855182E-2</v>
      </c>
      <c r="C110" s="50">
        <f t="shared" si="21"/>
        <v>0.10070741617497482</v>
      </c>
      <c r="D110" s="50" t="str">
        <f t="shared" si="17"/>
        <v/>
      </c>
      <c r="E110" s="128" t="str">
        <f t="shared" si="18"/>
        <v/>
      </c>
      <c r="F110" s="142"/>
      <c r="G110" s="49">
        <f t="shared" si="22"/>
        <v>53</v>
      </c>
      <c r="H110" s="50" t="str">
        <f t="shared" si="23"/>
        <v/>
      </c>
      <c r="I110" s="50">
        <f t="shared" si="24"/>
        <v>0.30599189670189714</v>
      </c>
      <c r="J110" s="50" t="str">
        <f t="shared" si="25"/>
        <v/>
      </c>
      <c r="K110" s="128" t="str">
        <f t="shared" si="19"/>
        <v/>
      </c>
      <c r="L110" s="142"/>
    </row>
    <row r="111" spans="1:12">
      <c r="A111" s="49">
        <f t="shared" si="26"/>
        <v>54</v>
      </c>
      <c r="B111" s="50">
        <f t="shared" si="20"/>
        <v>1.1509103946427315E-2</v>
      </c>
      <c r="C111" s="50">
        <f t="shared" si="21"/>
        <v>0.10070741617497482</v>
      </c>
      <c r="D111" s="50" t="str">
        <f t="shared" si="17"/>
        <v/>
      </c>
      <c r="E111" s="128" t="str">
        <f t="shared" si="18"/>
        <v/>
      </c>
      <c r="F111" s="142"/>
      <c r="G111" s="49">
        <f t="shared" si="22"/>
        <v>54</v>
      </c>
      <c r="H111" s="50" t="str">
        <f t="shared" si="23"/>
        <v/>
      </c>
      <c r="I111" s="50">
        <f t="shared" si="24"/>
        <v>0.30599189670189714</v>
      </c>
      <c r="J111" s="50" t="str">
        <f t="shared" si="25"/>
        <v/>
      </c>
      <c r="K111" s="128" t="str">
        <f t="shared" si="19"/>
        <v/>
      </c>
      <c r="L111" s="142"/>
    </row>
    <row r="112" spans="1:12">
      <c r="A112" s="49">
        <f t="shared" si="26"/>
        <v>55</v>
      </c>
      <c r="B112" s="50">
        <f t="shared" si="20"/>
        <v>8.8856241749994472E-3</v>
      </c>
      <c r="C112" s="50">
        <f t="shared" si="21"/>
        <v>0.10070741617497482</v>
      </c>
      <c r="D112" s="50" t="str">
        <f t="shared" si="17"/>
        <v/>
      </c>
      <c r="E112" s="128" t="str">
        <f t="shared" si="18"/>
        <v/>
      </c>
      <c r="F112" s="142"/>
      <c r="G112" s="49">
        <f t="shared" si="22"/>
        <v>55</v>
      </c>
      <c r="H112" s="50" t="str">
        <f t="shared" si="23"/>
        <v/>
      </c>
      <c r="I112" s="50">
        <f t="shared" si="24"/>
        <v>0.30599189670189714</v>
      </c>
      <c r="J112" s="50" t="str">
        <f t="shared" si="25"/>
        <v/>
      </c>
      <c r="K112" s="128" t="str">
        <f t="shared" si="19"/>
        <v/>
      </c>
      <c r="L112" s="142"/>
    </row>
    <row r="113" spans="1:12">
      <c r="A113" s="49">
        <f t="shared" si="26"/>
        <v>56</v>
      </c>
      <c r="B113" s="50">
        <f t="shared" si="20"/>
        <v>6.2621444035715788E-3</v>
      </c>
      <c r="C113" s="50">
        <f t="shared" si="21"/>
        <v>0.10070741617497482</v>
      </c>
      <c r="D113" s="50" t="str">
        <f t="shared" si="17"/>
        <v/>
      </c>
      <c r="E113" s="128" t="str">
        <f t="shared" si="18"/>
        <v/>
      </c>
      <c r="F113" s="142"/>
      <c r="G113" s="49">
        <f t="shared" si="22"/>
        <v>56</v>
      </c>
      <c r="H113" s="50" t="str">
        <f t="shared" si="23"/>
        <v/>
      </c>
      <c r="I113" s="50">
        <f t="shared" si="24"/>
        <v>0.30599189670189714</v>
      </c>
      <c r="J113" s="50" t="str">
        <f t="shared" si="25"/>
        <v/>
      </c>
      <c r="K113" s="128" t="str">
        <f t="shared" si="19"/>
        <v/>
      </c>
      <c r="L113" s="142"/>
    </row>
    <row r="114" spans="1:12">
      <c r="A114" s="49">
        <f t="shared" si="26"/>
        <v>57</v>
      </c>
      <c r="B114" s="50">
        <f t="shared" si="20"/>
        <v>3.6386646321437113E-3</v>
      </c>
      <c r="C114" s="50">
        <f t="shared" si="21"/>
        <v>0.10070741617497482</v>
      </c>
      <c r="D114" s="50" t="str">
        <f t="shared" si="17"/>
        <v/>
      </c>
      <c r="E114" s="128" t="str">
        <f t="shared" si="18"/>
        <v/>
      </c>
      <c r="F114" s="142"/>
      <c r="G114" s="49">
        <f t="shared" si="22"/>
        <v>57</v>
      </c>
      <c r="H114" s="50" t="str">
        <f t="shared" si="23"/>
        <v/>
      </c>
      <c r="I114" s="50">
        <f t="shared" si="24"/>
        <v>0.30599189670189714</v>
      </c>
      <c r="J114" s="50" t="str">
        <f t="shared" si="25"/>
        <v/>
      </c>
      <c r="K114" s="128" t="str">
        <f t="shared" si="19"/>
        <v/>
      </c>
      <c r="L114" s="142"/>
    </row>
    <row r="115" spans="1:12">
      <c r="A115" s="49">
        <f t="shared" si="26"/>
        <v>58</v>
      </c>
      <c r="B115" s="50">
        <f t="shared" si="20"/>
        <v>1.0151848607158431E-3</v>
      </c>
      <c r="C115" s="50">
        <f t="shared" si="21"/>
        <v>0.10070741617497482</v>
      </c>
      <c r="D115" s="50" t="str">
        <f t="shared" si="17"/>
        <v/>
      </c>
      <c r="E115" s="128" t="str">
        <f t="shared" si="18"/>
        <v/>
      </c>
      <c r="F115" s="142"/>
      <c r="G115" s="49">
        <f t="shared" si="22"/>
        <v>58</v>
      </c>
      <c r="H115" s="50" t="str">
        <f t="shared" si="23"/>
        <v/>
      </c>
      <c r="I115" s="50">
        <f t="shared" si="24"/>
        <v>0.30599189670189714</v>
      </c>
      <c r="J115" s="50" t="str">
        <f t="shared" si="25"/>
        <v/>
      </c>
      <c r="K115" s="128" t="str">
        <f t="shared" si="19"/>
        <v/>
      </c>
      <c r="L115" s="142"/>
    </row>
    <row r="116" spans="1:12">
      <c r="A116" s="49">
        <f t="shared" si="26"/>
        <v>59</v>
      </c>
      <c r="B116" s="50" t="str">
        <f t="shared" si="20"/>
        <v/>
      </c>
      <c r="C116" s="50">
        <f t="shared" si="21"/>
        <v>0.10070741617497482</v>
      </c>
      <c r="D116" s="50" t="str">
        <f t="shared" si="17"/>
        <v/>
      </c>
      <c r="E116" s="128" t="str">
        <f t="shared" si="18"/>
        <v/>
      </c>
      <c r="F116" s="142"/>
      <c r="G116" s="49">
        <f t="shared" si="22"/>
        <v>59</v>
      </c>
      <c r="H116" s="50" t="str">
        <f t="shared" si="23"/>
        <v/>
      </c>
      <c r="I116" s="50">
        <f t="shared" si="24"/>
        <v>0.30599189670189714</v>
      </c>
      <c r="J116" s="50" t="str">
        <f t="shared" si="25"/>
        <v/>
      </c>
      <c r="K116" s="128" t="str">
        <f t="shared" si="19"/>
        <v/>
      </c>
      <c r="L116" s="142"/>
    </row>
    <row r="117" spans="1:12">
      <c r="A117" s="49">
        <f t="shared" si="26"/>
        <v>60</v>
      </c>
      <c r="B117" s="50" t="str">
        <f t="shared" si="20"/>
        <v/>
      </c>
      <c r="C117" s="50">
        <f t="shared" si="21"/>
        <v>0.10070741617497482</v>
      </c>
      <c r="D117" s="50" t="str">
        <f t="shared" si="17"/>
        <v/>
      </c>
      <c r="E117" s="128" t="str">
        <f t="shared" si="18"/>
        <v/>
      </c>
      <c r="F117" s="142"/>
      <c r="G117" s="49">
        <f t="shared" si="22"/>
        <v>60</v>
      </c>
      <c r="H117" s="50" t="str">
        <f t="shared" si="23"/>
        <v/>
      </c>
      <c r="I117" s="50">
        <f t="shared" si="24"/>
        <v>0.30599189670189714</v>
      </c>
      <c r="J117" s="50" t="str">
        <f t="shared" si="25"/>
        <v/>
      </c>
      <c r="K117" s="128" t="str">
        <f t="shared" si="19"/>
        <v/>
      </c>
      <c r="L117" s="142"/>
    </row>
    <row r="118" spans="1:12">
      <c r="A118" s="49">
        <f t="shared" si="26"/>
        <v>61</v>
      </c>
      <c r="B118" s="50" t="str">
        <f t="shared" si="20"/>
        <v/>
      </c>
      <c r="C118" s="50">
        <f t="shared" si="21"/>
        <v>9.5672045366226074E-2</v>
      </c>
      <c r="D118" s="50" t="str">
        <f t="shared" si="17"/>
        <v/>
      </c>
      <c r="E118" s="128" t="str">
        <f t="shared" si="18"/>
        <v/>
      </c>
      <c r="F118" s="142"/>
      <c r="G118" s="49">
        <f t="shared" si="22"/>
        <v>61</v>
      </c>
      <c r="H118" s="50" t="str">
        <f t="shared" si="23"/>
        <v/>
      </c>
      <c r="I118" s="50">
        <f t="shared" si="24"/>
        <v>0.28559243692177066</v>
      </c>
      <c r="J118" s="50" t="str">
        <f t="shared" si="25"/>
        <v/>
      </c>
      <c r="K118" s="128" t="str">
        <f t="shared" si="19"/>
        <v/>
      </c>
      <c r="L118" s="142"/>
    </row>
    <row r="119" spans="1:12">
      <c r="A119" s="49">
        <f t="shared" si="26"/>
        <v>62</v>
      </c>
      <c r="B119" s="50" t="str">
        <f t="shared" si="20"/>
        <v/>
      </c>
      <c r="C119" s="50">
        <f t="shared" si="21"/>
        <v>9.0636674557477342E-2</v>
      </c>
      <c r="D119" s="50" t="str">
        <f t="shared" si="17"/>
        <v/>
      </c>
      <c r="E119" s="128" t="str">
        <f t="shared" si="18"/>
        <v/>
      </c>
      <c r="F119" s="142"/>
      <c r="G119" s="49">
        <f t="shared" si="22"/>
        <v>62</v>
      </c>
      <c r="H119" s="50" t="str">
        <f t="shared" si="23"/>
        <v/>
      </c>
      <c r="I119" s="50">
        <f t="shared" si="24"/>
        <v>0.26519297714164419</v>
      </c>
      <c r="J119" s="50" t="str">
        <f t="shared" si="25"/>
        <v/>
      </c>
      <c r="K119" s="128" t="str">
        <f t="shared" si="19"/>
        <v/>
      </c>
      <c r="L119" s="142"/>
    </row>
    <row r="120" spans="1:12">
      <c r="A120" s="49">
        <f t="shared" si="26"/>
        <v>63</v>
      </c>
      <c r="B120" s="50" t="str">
        <f t="shared" si="20"/>
        <v/>
      </c>
      <c r="C120" s="50">
        <f t="shared" si="21"/>
        <v>8.5601303748728597E-2</v>
      </c>
      <c r="D120" s="50" t="str">
        <f t="shared" si="17"/>
        <v/>
      </c>
      <c r="E120" s="128" t="str">
        <f t="shared" si="18"/>
        <v/>
      </c>
      <c r="F120" s="142"/>
      <c r="G120" s="49">
        <f t="shared" si="22"/>
        <v>63</v>
      </c>
      <c r="H120" s="50" t="str">
        <f t="shared" si="23"/>
        <v/>
      </c>
      <c r="I120" s="50">
        <f t="shared" si="24"/>
        <v>0.24479351736151772</v>
      </c>
      <c r="J120" s="50" t="str">
        <f t="shared" si="25"/>
        <v/>
      </c>
      <c r="K120" s="128" t="str">
        <f t="shared" si="19"/>
        <v/>
      </c>
      <c r="L120" s="142"/>
    </row>
    <row r="121" spans="1:12">
      <c r="A121" s="49">
        <f t="shared" si="26"/>
        <v>64</v>
      </c>
      <c r="B121" s="50" t="str">
        <f t="shared" si="20"/>
        <v/>
      </c>
      <c r="C121" s="50">
        <f t="shared" si="21"/>
        <v>8.0565932939979865E-2</v>
      </c>
      <c r="D121" s="50" t="str">
        <f t="shared" ref="D121:D147" si="27">IF(A121&lt;$R$62,INDEX(T$35:T$62,MATCH(A121,$R$35:$R$62))+(A121-INDEX($R$35:$R$62,MATCH(A121,$R$35:$R$62)))*(INDEX(T$35:T$62,MATCH(A121,$R$35:$R$62)+1)-INDEX(T$35:T$62,MATCH(A121,$R$35:$R$62)))/(INDEX($R$35:$R$62,MATCH(A121,$R$35:$R$62)+1)-INDEX($R$35:$R$62,MATCH(A121,$R$35:$R$62))),"")</f>
        <v/>
      </c>
      <c r="E121" s="128" t="str">
        <f t="shared" ref="E121:E147" si="28">IF($A121&lt;$R$62,INDEX(V$35:V$62,MATCH($A121,$R$35:$R$62))+($A121-INDEX($R$35:$R$62,MATCH($A121,$R$35:$R$62)))*(INDEX(V$35:V$62,MATCH($A121,$R$35:$R$62)+1)-INDEX(V$35:V$62,MATCH($A121,$R$35:$R$62)))/(INDEX($R$35:$R$62,MATCH($A121,$R$35:$R$62)+1)-INDEX($R$35:$R$62,MATCH($A121,$R$35:$R$62))),"")</f>
        <v/>
      </c>
      <c r="F121" s="142"/>
      <c r="G121" s="49">
        <f t="shared" si="22"/>
        <v>64</v>
      </c>
      <c r="H121" s="50" t="str">
        <f t="shared" si="23"/>
        <v/>
      </c>
      <c r="I121" s="50">
        <f t="shared" si="24"/>
        <v>0.22439405758139122</v>
      </c>
      <c r="J121" s="50" t="str">
        <f t="shared" si="25"/>
        <v/>
      </c>
      <c r="K121" s="128" t="str">
        <f t="shared" ref="K121:K147" si="29">IF($G121&lt;$R$62,INDEX(W$35:W$62,MATCH($G121,$R$35:$R$62))+($G121-INDEX($R$35:$R$62,MATCH($G121,$R$35:$R$62)))*(INDEX(W$35:W$62,MATCH($G121,$R$35:$R$62)+1)-INDEX(W$35:W$62,MATCH($G121,$R$35:$R$62)))/(INDEX($R$35:$R$62,MATCH($G121,$R$35:$R$62)+1)-INDEX($R$35:$R$62,MATCH($G121,$R$35:$R$62))),"")</f>
        <v/>
      </c>
      <c r="L121" s="142"/>
    </row>
    <row r="122" spans="1:12">
      <c r="A122" s="49">
        <f t="shared" si="26"/>
        <v>65</v>
      </c>
      <c r="B122" s="50" t="str">
        <f t="shared" ref="B122:B150" si="30">IF(A122&lt;=C$20+B$50,IF(A122&lt;=C$20,A122/C$20*C$24,(C$20+B$50-A122)/(B$50)*C$24),"")</f>
        <v/>
      </c>
      <c r="C122" s="50">
        <f t="shared" ref="C122:C149" si="31">IF(A122="","",IF(A122&lt;=C$20,A122/C$20*C$24,IF(A122&lt;=C$6,C$24,(C$6+C$20-A122)/C$20*C$24)))</f>
        <v>7.5530562131231119E-2</v>
      </c>
      <c r="D122" s="50" t="str">
        <f t="shared" si="27"/>
        <v/>
      </c>
      <c r="E122" s="128" t="str">
        <f t="shared" si="28"/>
        <v/>
      </c>
      <c r="F122" s="142"/>
      <c r="G122" s="49">
        <f t="shared" ref="G122:G147" si="32">IF(G121&lt;=I$20+$C$6-$C$9,G121+$C$9,"")</f>
        <v>65</v>
      </c>
      <c r="H122" s="50" t="str">
        <f t="shared" ref="H122:H147" si="33">IF(G122&lt;=I$20+H$50,IF(G122&lt;=I$20,G122/I$20*I$24,(I$20+H$50-G122)/(H$50)*I$24),"")</f>
        <v/>
      </c>
      <c r="I122" s="50">
        <f t="shared" ref="I122:I147" si="34">IF(G122="","",IF(G122&lt;=I$20,G122/I$20*I$24,IF(G122&lt;=C$6,I$24,(C$6+I$20-G122)/I$20*I$24)))</f>
        <v>0.20399459780126475</v>
      </c>
      <c r="J122" s="50" t="str">
        <f t="shared" ref="J122:J147" si="35">IF(G122&lt;R$62,INDEX(U$35:U$62,MATCH(G122,R$35:R$62))+(G122-INDEX(R$35:R$62,MATCH(G122,R$35:R$62)))*(INDEX(U$35:U$62,MATCH(G122,R$35:R$62)+1)-INDEX(U$35:U$62,MATCH(G122,R$35:R$62)))/(INDEX(R$35:R$62,MATCH(G122,R$35:R$62)+1)-INDEX(R$35:R$62,MATCH(G122,R$35:R$62))),"")</f>
        <v/>
      </c>
      <c r="K122" s="128" t="str">
        <f t="shared" si="29"/>
        <v/>
      </c>
      <c r="L122" s="142"/>
    </row>
    <row r="123" spans="1:12">
      <c r="A123" s="49">
        <f t="shared" ref="A123:A150" si="36">IF(A122&lt;=C$20+C$6-C$9,A122+C$9,"")</f>
        <v>66</v>
      </c>
      <c r="B123" s="50" t="str">
        <f t="shared" si="30"/>
        <v/>
      </c>
      <c r="C123" s="50">
        <f t="shared" si="31"/>
        <v>7.0495191322482373E-2</v>
      </c>
      <c r="D123" s="50" t="str">
        <f t="shared" si="27"/>
        <v/>
      </c>
      <c r="E123" s="128" t="str">
        <f t="shared" si="28"/>
        <v/>
      </c>
      <c r="F123" s="142"/>
      <c r="G123" s="49">
        <f t="shared" si="32"/>
        <v>66</v>
      </c>
      <c r="H123" s="50" t="str">
        <f t="shared" si="33"/>
        <v/>
      </c>
      <c r="I123" s="50">
        <f t="shared" si="34"/>
        <v>0.18359513802113828</v>
      </c>
      <c r="J123" s="50" t="str">
        <f t="shared" si="35"/>
        <v/>
      </c>
      <c r="K123" s="128" t="str">
        <f t="shared" si="29"/>
        <v/>
      </c>
      <c r="L123" s="142"/>
    </row>
    <row r="124" spans="1:12">
      <c r="A124" s="49">
        <f t="shared" si="36"/>
        <v>67</v>
      </c>
      <c r="B124" s="50" t="str">
        <f t="shared" si="30"/>
        <v/>
      </c>
      <c r="C124" s="50">
        <f t="shared" si="31"/>
        <v>6.5459820513733641E-2</v>
      </c>
      <c r="D124" s="50" t="str">
        <f t="shared" si="27"/>
        <v/>
      </c>
      <c r="E124" s="128" t="str">
        <f t="shared" si="28"/>
        <v/>
      </c>
      <c r="F124" s="142"/>
      <c r="G124" s="49">
        <f t="shared" si="32"/>
        <v>67</v>
      </c>
      <c r="H124" s="50" t="str">
        <f t="shared" si="33"/>
        <v/>
      </c>
      <c r="I124" s="50">
        <f t="shared" si="34"/>
        <v>0.1631956782410118</v>
      </c>
      <c r="J124" s="50" t="str">
        <f t="shared" si="35"/>
        <v/>
      </c>
      <c r="K124" s="128" t="str">
        <f t="shared" si="29"/>
        <v/>
      </c>
      <c r="L124" s="142"/>
    </row>
    <row r="125" spans="1:12">
      <c r="A125" s="49">
        <f t="shared" si="36"/>
        <v>68</v>
      </c>
      <c r="B125" s="50" t="str">
        <f t="shared" si="30"/>
        <v/>
      </c>
      <c r="C125" s="50">
        <f t="shared" si="31"/>
        <v>6.0424449704984888E-2</v>
      </c>
      <c r="D125" s="50" t="str">
        <f t="shared" si="27"/>
        <v/>
      </c>
      <c r="E125" s="128" t="str">
        <f t="shared" si="28"/>
        <v/>
      </c>
      <c r="F125" s="142"/>
      <c r="G125" s="49">
        <f t="shared" si="32"/>
        <v>68</v>
      </c>
      <c r="H125" s="50" t="str">
        <f t="shared" si="33"/>
        <v/>
      </c>
      <c r="I125" s="50">
        <f t="shared" si="34"/>
        <v>0.14279621846088533</v>
      </c>
      <c r="J125" s="50" t="str">
        <f t="shared" si="35"/>
        <v/>
      </c>
      <c r="K125" s="128" t="str">
        <f t="shared" si="29"/>
        <v/>
      </c>
      <c r="L125" s="142"/>
    </row>
    <row r="126" spans="1:12">
      <c r="A126" s="49">
        <f t="shared" si="36"/>
        <v>69</v>
      </c>
      <c r="B126" s="50" t="str">
        <f t="shared" si="30"/>
        <v/>
      </c>
      <c r="C126" s="50">
        <f t="shared" si="31"/>
        <v>5.5389078896236156E-2</v>
      </c>
      <c r="D126" s="50" t="str">
        <f t="shared" si="27"/>
        <v/>
      </c>
      <c r="E126" s="128" t="str">
        <f t="shared" si="28"/>
        <v/>
      </c>
      <c r="F126" s="142"/>
      <c r="G126" s="49">
        <f t="shared" si="32"/>
        <v>69</v>
      </c>
      <c r="H126" s="50" t="str">
        <f t="shared" si="33"/>
        <v/>
      </c>
      <c r="I126" s="50">
        <f t="shared" si="34"/>
        <v>0.12239675868075886</v>
      </c>
      <c r="J126" s="50" t="str">
        <f t="shared" si="35"/>
        <v/>
      </c>
      <c r="K126" s="128" t="str">
        <f t="shared" si="29"/>
        <v/>
      </c>
      <c r="L126" s="142"/>
    </row>
    <row r="127" spans="1:12">
      <c r="A127" s="49">
        <f t="shared" si="36"/>
        <v>70</v>
      </c>
      <c r="B127" s="50" t="str">
        <f t="shared" si="30"/>
        <v/>
      </c>
      <c r="C127" s="50">
        <f t="shared" si="31"/>
        <v>5.035370808748741E-2</v>
      </c>
      <c r="D127" s="50" t="str">
        <f t="shared" si="27"/>
        <v/>
      </c>
      <c r="E127" s="128" t="str">
        <f t="shared" si="28"/>
        <v/>
      </c>
      <c r="F127" s="142"/>
      <c r="G127" s="49">
        <f t="shared" si="32"/>
        <v>70</v>
      </c>
      <c r="H127" s="50" t="str">
        <f t="shared" si="33"/>
        <v/>
      </c>
      <c r="I127" s="50">
        <f t="shared" si="34"/>
        <v>0.10199729890063237</v>
      </c>
      <c r="J127" s="50" t="str">
        <f t="shared" si="35"/>
        <v/>
      </c>
      <c r="K127" s="128" t="str">
        <f t="shared" si="29"/>
        <v/>
      </c>
      <c r="L127" s="142"/>
    </row>
    <row r="128" spans="1:12">
      <c r="A128" s="49">
        <f t="shared" si="36"/>
        <v>71</v>
      </c>
      <c r="B128" s="50" t="str">
        <f t="shared" si="30"/>
        <v/>
      </c>
      <c r="C128" s="50">
        <f t="shared" si="31"/>
        <v>4.5318337278738671E-2</v>
      </c>
      <c r="D128" s="50" t="str">
        <f t="shared" si="27"/>
        <v/>
      </c>
      <c r="E128" s="128" t="str">
        <f t="shared" si="28"/>
        <v/>
      </c>
      <c r="F128" s="142"/>
      <c r="G128" s="49">
        <f t="shared" si="32"/>
        <v>71</v>
      </c>
      <c r="H128" s="50" t="str">
        <f t="shared" si="33"/>
        <v/>
      </c>
      <c r="I128" s="50">
        <f t="shared" si="34"/>
        <v>8.1597839120505902E-2</v>
      </c>
      <c r="J128" s="50" t="str">
        <f t="shared" si="35"/>
        <v/>
      </c>
      <c r="K128" s="128" t="str">
        <f t="shared" si="29"/>
        <v/>
      </c>
      <c r="L128" s="142"/>
    </row>
    <row r="129" spans="1:12">
      <c r="A129" s="49">
        <f t="shared" si="36"/>
        <v>72</v>
      </c>
      <c r="B129" s="50" t="str">
        <f t="shared" si="30"/>
        <v/>
      </c>
      <c r="C129" s="50">
        <f t="shared" si="31"/>
        <v>4.0282966469989932E-2</v>
      </c>
      <c r="D129" s="50" t="str">
        <f t="shared" si="27"/>
        <v/>
      </c>
      <c r="E129" s="128" t="str">
        <f t="shared" si="28"/>
        <v/>
      </c>
      <c r="F129" s="142"/>
      <c r="G129" s="49">
        <f t="shared" si="32"/>
        <v>72</v>
      </c>
      <c r="H129" s="50" t="str">
        <f t="shared" si="33"/>
        <v/>
      </c>
      <c r="I129" s="50">
        <f t="shared" si="34"/>
        <v>6.119837934037943E-2</v>
      </c>
      <c r="J129" s="50" t="str">
        <f t="shared" si="35"/>
        <v/>
      </c>
      <c r="K129" s="128" t="str">
        <f t="shared" si="29"/>
        <v/>
      </c>
      <c r="L129" s="142"/>
    </row>
    <row r="130" spans="1:12">
      <c r="A130" s="49">
        <f t="shared" si="36"/>
        <v>73</v>
      </c>
      <c r="B130" s="50" t="str">
        <f t="shared" si="30"/>
        <v/>
      </c>
      <c r="C130" s="50">
        <f t="shared" si="31"/>
        <v>3.5247595661241186E-2</v>
      </c>
      <c r="D130" s="50" t="str">
        <f t="shared" si="27"/>
        <v/>
      </c>
      <c r="E130" s="128" t="str">
        <f t="shared" si="28"/>
        <v/>
      </c>
      <c r="F130" s="142"/>
      <c r="G130" s="49">
        <f t="shared" si="32"/>
        <v>73</v>
      </c>
      <c r="H130" s="50" t="str">
        <f t="shared" si="33"/>
        <v/>
      </c>
      <c r="I130" s="50">
        <f t="shared" si="34"/>
        <v>4.0798919560252951E-2</v>
      </c>
      <c r="J130" s="50" t="str">
        <f t="shared" si="35"/>
        <v/>
      </c>
      <c r="K130" s="128" t="str">
        <f t="shared" si="29"/>
        <v/>
      </c>
      <c r="L130" s="142"/>
    </row>
    <row r="131" spans="1:12">
      <c r="A131" s="49">
        <f t="shared" si="36"/>
        <v>74</v>
      </c>
      <c r="B131" s="50" t="str">
        <f t="shared" si="30"/>
        <v/>
      </c>
      <c r="C131" s="50">
        <f t="shared" si="31"/>
        <v>3.0212224852492444E-2</v>
      </c>
      <c r="D131" s="50" t="str">
        <f t="shared" si="27"/>
        <v/>
      </c>
      <c r="E131" s="128" t="str">
        <f t="shared" si="28"/>
        <v/>
      </c>
      <c r="F131" s="142"/>
      <c r="G131" s="49">
        <f t="shared" si="32"/>
        <v>74</v>
      </c>
      <c r="H131" s="50" t="str">
        <f t="shared" si="33"/>
        <v/>
      </c>
      <c r="I131" s="50">
        <f t="shared" si="34"/>
        <v>2.0399459780126476E-2</v>
      </c>
      <c r="J131" s="50" t="str">
        <f t="shared" si="35"/>
        <v/>
      </c>
      <c r="K131" s="128" t="str">
        <f t="shared" si="29"/>
        <v/>
      </c>
      <c r="L131" s="142"/>
    </row>
    <row r="132" spans="1:12">
      <c r="A132" s="49">
        <f t="shared" si="36"/>
        <v>75</v>
      </c>
      <c r="B132" s="50" t="str">
        <f t="shared" si="30"/>
        <v/>
      </c>
      <c r="C132" s="50">
        <f t="shared" si="31"/>
        <v>2.5176854043743705E-2</v>
      </c>
      <c r="D132" s="50" t="str">
        <f t="shared" si="27"/>
        <v/>
      </c>
      <c r="E132" s="128" t="str">
        <f t="shared" si="28"/>
        <v/>
      </c>
      <c r="F132" s="142"/>
      <c r="G132" s="49">
        <f t="shared" si="32"/>
        <v>75</v>
      </c>
      <c r="H132" s="50" t="str">
        <f t="shared" si="33"/>
        <v/>
      </c>
      <c r="I132" s="50">
        <f t="shared" si="34"/>
        <v>0</v>
      </c>
      <c r="J132" s="50" t="str">
        <f t="shared" si="35"/>
        <v/>
      </c>
      <c r="K132" s="128" t="str">
        <f t="shared" si="29"/>
        <v/>
      </c>
      <c r="L132" s="142"/>
    </row>
    <row r="133" spans="1:12">
      <c r="A133" s="49">
        <f t="shared" si="36"/>
        <v>76</v>
      </c>
      <c r="B133" s="50" t="str">
        <f t="shared" si="30"/>
        <v/>
      </c>
      <c r="C133" s="50">
        <f t="shared" si="31"/>
        <v>2.0141483234994966E-2</v>
      </c>
      <c r="D133" s="50" t="str">
        <f t="shared" si="27"/>
        <v/>
      </c>
      <c r="E133" s="128" t="str">
        <f t="shared" si="28"/>
        <v/>
      </c>
      <c r="F133" s="142"/>
      <c r="G133" s="49" t="str">
        <f t="shared" si="32"/>
        <v/>
      </c>
      <c r="H133" s="50" t="str">
        <f t="shared" si="33"/>
        <v/>
      </c>
      <c r="I133" s="50" t="str">
        <f t="shared" si="34"/>
        <v/>
      </c>
      <c r="J133" s="50" t="str">
        <f t="shared" si="35"/>
        <v/>
      </c>
      <c r="K133" s="128" t="str">
        <f t="shared" si="29"/>
        <v/>
      </c>
      <c r="L133" s="142"/>
    </row>
    <row r="134" spans="1:12">
      <c r="A134" s="49">
        <f t="shared" si="36"/>
        <v>77</v>
      </c>
      <c r="B134" s="50" t="str">
        <f t="shared" si="30"/>
        <v/>
      </c>
      <c r="C134" s="50">
        <f t="shared" si="31"/>
        <v>1.5106112426246222E-2</v>
      </c>
      <c r="D134" s="50" t="str">
        <f t="shared" si="27"/>
        <v/>
      </c>
      <c r="E134" s="128" t="str">
        <f t="shared" si="28"/>
        <v/>
      </c>
      <c r="F134" s="142"/>
      <c r="G134" s="49" t="str">
        <f t="shared" si="32"/>
        <v/>
      </c>
      <c r="H134" s="50" t="str">
        <f t="shared" si="33"/>
        <v/>
      </c>
      <c r="I134" s="50" t="str">
        <f t="shared" si="34"/>
        <v/>
      </c>
      <c r="J134" s="50" t="str">
        <f t="shared" si="35"/>
        <v/>
      </c>
      <c r="K134" s="128" t="str">
        <f t="shared" si="29"/>
        <v/>
      </c>
      <c r="L134" s="142"/>
    </row>
    <row r="135" spans="1:12">
      <c r="A135" s="49">
        <f t="shared" si="36"/>
        <v>78</v>
      </c>
      <c r="B135" s="50" t="str">
        <f t="shared" si="30"/>
        <v/>
      </c>
      <c r="C135" s="50">
        <f t="shared" si="31"/>
        <v>1.0070741617497483E-2</v>
      </c>
      <c r="D135" s="50" t="str">
        <f t="shared" si="27"/>
        <v/>
      </c>
      <c r="E135" s="128" t="str">
        <f t="shared" si="28"/>
        <v/>
      </c>
      <c r="F135" s="142"/>
      <c r="G135" s="49" t="str">
        <f t="shared" si="32"/>
        <v/>
      </c>
      <c r="H135" s="50" t="str">
        <f t="shared" si="33"/>
        <v/>
      </c>
      <c r="I135" s="50" t="str">
        <f t="shared" si="34"/>
        <v/>
      </c>
      <c r="J135" s="50" t="str">
        <f t="shared" si="35"/>
        <v/>
      </c>
      <c r="K135" s="128" t="str">
        <f t="shared" si="29"/>
        <v/>
      </c>
      <c r="L135" s="142"/>
    </row>
    <row r="136" spans="1:12">
      <c r="A136" s="49">
        <f t="shared" si="36"/>
        <v>79</v>
      </c>
      <c r="B136" s="50" t="str">
        <f t="shared" si="30"/>
        <v/>
      </c>
      <c r="C136" s="50">
        <f t="shared" si="31"/>
        <v>5.0353708087487415E-3</v>
      </c>
      <c r="D136" s="50" t="str">
        <f t="shared" si="27"/>
        <v/>
      </c>
      <c r="E136" s="128" t="str">
        <f t="shared" si="28"/>
        <v/>
      </c>
      <c r="F136" s="142"/>
      <c r="G136" s="49" t="str">
        <f t="shared" si="32"/>
        <v/>
      </c>
      <c r="H136" s="50" t="str">
        <f t="shared" si="33"/>
        <v/>
      </c>
      <c r="I136" s="50" t="str">
        <f t="shared" si="34"/>
        <v/>
      </c>
      <c r="J136" s="50" t="str">
        <f t="shared" si="35"/>
        <v/>
      </c>
      <c r="K136" s="128" t="str">
        <f t="shared" si="29"/>
        <v/>
      </c>
      <c r="L136" s="142"/>
    </row>
    <row r="137" spans="1:12">
      <c r="A137" s="49">
        <f t="shared" si="36"/>
        <v>80</v>
      </c>
      <c r="B137" s="50" t="str">
        <f t="shared" si="30"/>
        <v/>
      </c>
      <c r="C137" s="50">
        <f t="shared" si="31"/>
        <v>0</v>
      </c>
      <c r="D137" s="50" t="str">
        <f t="shared" si="27"/>
        <v/>
      </c>
      <c r="E137" s="128" t="str">
        <f t="shared" si="28"/>
        <v/>
      </c>
      <c r="F137" s="142"/>
      <c r="G137" s="49" t="str">
        <f t="shared" si="32"/>
        <v/>
      </c>
      <c r="H137" s="50" t="str">
        <f t="shared" si="33"/>
        <v/>
      </c>
      <c r="I137" s="50" t="str">
        <f t="shared" si="34"/>
        <v/>
      </c>
      <c r="J137" s="50" t="str">
        <f t="shared" si="35"/>
        <v/>
      </c>
      <c r="K137" s="128" t="str">
        <f t="shared" si="29"/>
        <v/>
      </c>
      <c r="L137" s="142"/>
    </row>
    <row r="138" spans="1:12">
      <c r="A138" s="49" t="str">
        <f t="shared" si="36"/>
        <v/>
      </c>
      <c r="B138" s="50" t="str">
        <f t="shared" si="30"/>
        <v/>
      </c>
      <c r="C138" s="50" t="str">
        <f t="shared" si="31"/>
        <v/>
      </c>
      <c r="D138" s="50" t="str">
        <f t="shared" si="27"/>
        <v/>
      </c>
      <c r="E138" s="128" t="str">
        <f t="shared" si="28"/>
        <v/>
      </c>
      <c r="F138" s="142"/>
      <c r="G138" s="49" t="str">
        <f t="shared" si="32"/>
        <v/>
      </c>
      <c r="H138" s="50" t="str">
        <f t="shared" si="33"/>
        <v/>
      </c>
      <c r="I138" s="50" t="str">
        <f t="shared" si="34"/>
        <v/>
      </c>
      <c r="J138" s="50" t="str">
        <f t="shared" si="35"/>
        <v/>
      </c>
      <c r="K138" s="128" t="str">
        <f t="shared" si="29"/>
        <v/>
      </c>
      <c r="L138" s="142"/>
    </row>
    <row r="139" spans="1:12">
      <c r="A139" s="49" t="str">
        <f t="shared" si="36"/>
        <v/>
      </c>
      <c r="B139" s="50" t="str">
        <f t="shared" si="30"/>
        <v/>
      </c>
      <c r="C139" s="50" t="str">
        <f t="shared" si="31"/>
        <v/>
      </c>
      <c r="D139" s="50" t="str">
        <f t="shared" si="27"/>
        <v/>
      </c>
      <c r="E139" s="128" t="str">
        <f t="shared" si="28"/>
        <v/>
      </c>
      <c r="F139" s="142"/>
      <c r="G139" s="49" t="str">
        <f t="shared" si="32"/>
        <v/>
      </c>
      <c r="H139" s="50" t="str">
        <f t="shared" si="33"/>
        <v/>
      </c>
      <c r="I139" s="50" t="str">
        <f t="shared" si="34"/>
        <v/>
      </c>
      <c r="J139" s="50" t="str">
        <f t="shared" si="35"/>
        <v/>
      </c>
      <c r="K139" s="128" t="str">
        <f t="shared" si="29"/>
        <v/>
      </c>
      <c r="L139" s="142"/>
    </row>
    <row r="140" spans="1:12">
      <c r="A140" s="49" t="str">
        <f t="shared" si="36"/>
        <v/>
      </c>
      <c r="B140" s="50" t="str">
        <f t="shared" si="30"/>
        <v/>
      </c>
      <c r="C140" s="50" t="str">
        <f t="shared" si="31"/>
        <v/>
      </c>
      <c r="D140" s="50" t="str">
        <f t="shared" si="27"/>
        <v/>
      </c>
      <c r="E140" s="128" t="str">
        <f t="shared" si="28"/>
        <v/>
      </c>
      <c r="F140" s="142"/>
      <c r="G140" s="49" t="str">
        <f t="shared" si="32"/>
        <v/>
      </c>
      <c r="H140" s="50" t="str">
        <f t="shared" si="33"/>
        <v/>
      </c>
      <c r="I140" s="50" t="str">
        <f t="shared" si="34"/>
        <v/>
      </c>
      <c r="J140" s="50" t="str">
        <f t="shared" si="35"/>
        <v/>
      </c>
      <c r="K140" s="128" t="str">
        <f t="shared" si="29"/>
        <v/>
      </c>
      <c r="L140" s="142"/>
    </row>
    <row r="141" spans="1:12">
      <c r="A141" s="49" t="str">
        <f t="shared" si="36"/>
        <v/>
      </c>
      <c r="B141" s="50" t="str">
        <f t="shared" si="30"/>
        <v/>
      </c>
      <c r="C141" s="50" t="str">
        <f t="shared" si="31"/>
        <v/>
      </c>
      <c r="D141" s="50" t="str">
        <f t="shared" si="27"/>
        <v/>
      </c>
      <c r="E141" s="128" t="str">
        <f t="shared" si="28"/>
        <v/>
      </c>
      <c r="F141" s="142"/>
      <c r="G141" s="49" t="str">
        <f t="shared" si="32"/>
        <v/>
      </c>
      <c r="H141" s="50" t="str">
        <f t="shared" si="33"/>
        <v/>
      </c>
      <c r="I141" s="50" t="str">
        <f t="shared" si="34"/>
        <v/>
      </c>
      <c r="J141" s="50" t="str">
        <f t="shared" si="35"/>
        <v/>
      </c>
      <c r="K141" s="128" t="str">
        <f t="shared" si="29"/>
        <v/>
      </c>
      <c r="L141" s="142"/>
    </row>
    <row r="142" spans="1:12">
      <c r="A142" s="49" t="str">
        <f t="shared" si="36"/>
        <v/>
      </c>
      <c r="B142" s="50" t="str">
        <f t="shared" si="30"/>
        <v/>
      </c>
      <c r="C142" s="50" t="str">
        <f t="shared" si="31"/>
        <v/>
      </c>
      <c r="D142" s="50" t="str">
        <f t="shared" si="27"/>
        <v/>
      </c>
      <c r="E142" s="128" t="str">
        <f t="shared" si="28"/>
        <v/>
      </c>
      <c r="F142" s="142"/>
      <c r="G142" s="49" t="str">
        <f t="shared" si="32"/>
        <v/>
      </c>
      <c r="H142" s="50" t="str">
        <f t="shared" si="33"/>
        <v/>
      </c>
      <c r="I142" s="50" t="str">
        <f t="shared" si="34"/>
        <v/>
      </c>
      <c r="J142" s="50" t="str">
        <f t="shared" si="35"/>
        <v/>
      </c>
      <c r="K142" s="128" t="str">
        <f t="shared" si="29"/>
        <v/>
      </c>
      <c r="L142" s="142"/>
    </row>
    <row r="143" spans="1:12">
      <c r="A143" s="49" t="str">
        <f t="shared" si="36"/>
        <v/>
      </c>
      <c r="B143" s="50" t="str">
        <f t="shared" si="30"/>
        <v/>
      </c>
      <c r="C143" s="50" t="str">
        <f t="shared" si="31"/>
        <v/>
      </c>
      <c r="D143" s="50" t="str">
        <f t="shared" si="27"/>
        <v/>
      </c>
      <c r="E143" s="128" t="str">
        <f t="shared" si="28"/>
        <v/>
      </c>
      <c r="F143" s="142"/>
      <c r="G143" s="49" t="str">
        <f t="shared" si="32"/>
        <v/>
      </c>
      <c r="H143" s="50" t="str">
        <f t="shared" si="33"/>
        <v/>
      </c>
      <c r="I143" s="50" t="str">
        <f t="shared" si="34"/>
        <v/>
      </c>
      <c r="J143" s="50" t="str">
        <f t="shared" si="35"/>
        <v/>
      </c>
      <c r="K143" s="128" t="str">
        <f t="shared" si="29"/>
        <v/>
      </c>
      <c r="L143" s="142"/>
    </row>
    <row r="144" spans="1:12">
      <c r="A144" s="49" t="str">
        <f t="shared" si="36"/>
        <v/>
      </c>
      <c r="B144" s="50" t="str">
        <f t="shared" si="30"/>
        <v/>
      </c>
      <c r="C144" s="50" t="str">
        <f t="shared" si="31"/>
        <v/>
      </c>
      <c r="D144" s="50" t="str">
        <f t="shared" si="27"/>
        <v/>
      </c>
      <c r="E144" s="128" t="str">
        <f t="shared" si="28"/>
        <v/>
      </c>
      <c r="F144" s="142"/>
      <c r="G144" s="49" t="str">
        <f t="shared" si="32"/>
        <v/>
      </c>
      <c r="H144" s="50" t="str">
        <f t="shared" si="33"/>
        <v/>
      </c>
      <c r="I144" s="50" t="str">
        <f t="shared" si="34"/>
        <v/>
      </c>
      <c r="J144" s="50" t="str">
        <f t="shared" si="35"/>
        <v/>
      </c>
      <c r="K144" s="128" t="str">
        <f t="shared" si="29"/>
        <v/>
      </c>
      <c r="L144" s="142"/>
    </row>
    <row r="145" spans="1:30">
      <c r="A145" s="49" t="str">
        <f t="shared" si="36"/>
        <v/>
      </c>
      <c r="B145" s="50" t="str">
        <f t="shared" si="30"/>
        <v/>
      </c>
      <c r="C145" s="50" t="str">
        <f t="shared" si="31"/>
        <v/>
      </c>
      <c r="D145" s="50" t="str">
        <f t="shared" si="27"/>
        <v/>
      </c>
      <c r="E145" s="128" t="str">
        <f t="shared" si="28"/>
        <v/>
      </c>
      <c r="F145" s="142"/>
      <c r="G145" s="49" t="str">
        <f t="shared" si="32"/>
        <v/>
      </c>
      <c r="H145" s="50" t="str">
        <f t="shared" si="33"/>
        <v/>
      </c>
      <c r="I145" s="50" t="str">
        <f t="shared" si="34"/>
        <v/>
      </c>
      <c r="J145" s="50" t="str">
        <f t="shared" si="35"/>
        <v/>
      </c>
      <c r="K145" s="128" t="str">
        <f t="shared" si="29"/>
        <v/>
      </c>
      <c r="L145" s="142"/>
    </row>
    <row r="146" spans="1:30">
      <c r="A146" s="49" t="str">
        <f t="shared" si="36"/>
        <v/>
      </c>
      <c r="B146" s="50" t="str">
        <f t="shared" si="30"/>
        <v/>
      </c>
      <c r="C146" s="50" t="str">
        <f t="shared" si="31"/>
        <v/>
      </c>
      <c r="D146" s="50" t="str">
        <f t="shared" si="27"/>
        <v/>
      </c>
      <c r="E146" s="128" t="str">
        <f t="shared" si="28"/>
        <v/>
      </c>
      <c r="F146" s="142"/>
      <c r="G146" s="49" t="str">
        <f t="shared" si="32"/>
        <v/>
      </c>
      <c r="H146" s="50" t="str">
        <f t="shared" si="33"/>
        <v/>
      </c>
      <c r="I146" s="50" t="str">
        <f t="shared" si="34"/>
        <v/>
      </c>
      <c r="J146" s="50" t="str">
        <f t="shared" si="35"/>
        <v/>
      </c>
      <c r="K146" s="128" t="str">
        <f t="shared" si="29"/>
        <v/>
      </c>
      <c r="L146" s="142"/>
    </row>
    <row r="147" spans="1:30" ht="13.5" thickBot="1">
      <c r="A147" s="51" t="str">
        <f t="shared" si="36"/>
        <v/>
      </c>
      <c r="B147" s="52" t="str">
        <f t="shared" si="30"/>
        <v/>
      </c>
      <c r="C147" s="52" t="str">
        <f t="shared" si="31"/>
        <v/>
      </c>
      <c r="D147" s="52" t="str">
        <f t="shared" si="27"/>
        <v/>
      </c>
      <c r="E147" s="129" t="str">
        <f t="shared" si="28"/>
        <v/>
      </c>
      <c r="F147" s="142"/>
      <c r="G147" s="51" t="str">
        <f t="shared" si="32"/>
        <v/>
      </c>
      <c r="H147" s="52" t="str">
        <f t="shared" si="33"/>
        <v/>
      </c>
      <c r="I147" s="52" t="str">
        <f t="shared" si="34"/>
        <v/>
      </c>
      <c r="J147" s="52" t="str">
        <f t="shared" si="35"/>
        <v/>
      </c>
      <c r="K147" s="129" t="str">
        <f t="shared" si="29"/>
        <v/>
      </c>
      <c r="L147" s="142"/>
    </row>
    <row r="148" spans="1:30" ht="13.5" thickTop="1">
      <c r="A148" s="14" t="str">
        <f t="shared" si="36"/>
        <v/>
      </c>
      <c r="B148" s="11" t="str">
        <f t="shared" si="30"/>
        <v/>
      </c>
      <c r="C148" s="11" t="str">
        <f t="shared" si="31"/>
        <v/>
      </c>
      <c r="W148" s="11"/>
      <c r="Y148" s="11"/>
      <c r="AA148" s="11"/>
      <c r="AC148" s="11"/>
      <c r="AD148" s="11"/>
    </row>
    <row r="149" spans="1:30">
      <c r="A149" s="14" t="str">
        <f t="shared" si="36"/>
        <v/>
      </c>
      <c r="B149" s="11" t="str">
        <f t="shared" si="30"/>
        <v/>
      </c>
      <c r="C149" s="11" t="str">
        <f t="shared" si="31"/>
        <v/>
      </c>
      <c r="W149" s="11"/>
      <c r="Y149" s="11"/>
      <c r="AA149" s="11"/>
      <c r="AC149" s="11"/>
      <c r="AD149" s="11"/>
    </row>
    <row r="150" spans="1:30">
      <c r="A150" s="14" t="str">
        <f t="shared" si="36"/>
        <v/>
      </c>
      <c r="B150" s="11" t="str">
        <f t="shared" si="30"/>
        <v/>
      </c>
      <c r="W150" s="11"/>
      <c r="Y150" s="11"/>
      <c r="AA150" s="11"/>
      <c r="AC150" s="11"/>
      <c r="AD150" s="11"/>
    </row>
    <row r="151" spans="1:30">
      <c r="W151" s="11"/>
      <c r="Y151" s="11"/>
      <c r="AA151" s="11"/>
      <c r="AC151" s="11"/>
      <c r="AD151" s="11"/>
    </row>
    <row r="152" spans="1:30">
      <c r="W152" s="11"/>
      <c r="Y152" s="11"/>
      <c r="AA152" s="11"/>
      <c r="AC152" s="11"/>
      <c r="AD152" s="11"/>
    </row>
    <row r="153" spans="1:30">
      <c r="W153" s="11"/>
      <c r="Y153" s="11"/>
      <c r="AA153" s="11"/>
      <c r="AC153" s="11"/>
      <c r="AD153" s="11"/>
    </row>
    <row r="154" spans="1:30">
      <c r="W154" s="11"/>
      <c r="Y154" s="11"/>
      <c r="AA154" s="11"/>
      <c r="AC154" s="11"/>
      <c r="AD154" s="11"/>
    </row>
    <row r="155" spans="1:30">
      <c r="W155" s="11"/>
      <c r="Y155" s="11"/>
      <c r="AA155" s="11"/>
      <c r="AC155" s="11"/>
      <c r="AD155" s="11"/>
    </row>
    <row r="156" spans="1:30">
      <c r="W156" s="11"/>
      <c r="Y156" s="11"/>
      <c r="AA156" s="11"/>
      <c r="AC156" s="11"/>
      <c r="AD156" s="11"/>
    </row>
    <row r="157" spans="1:30">
      <c r="W157" s="11"/>
      <c r="Y157" s="11"/>
      <c r="AA157" s="11"/>
      <c r="AC157" s="11"/>
      <c r="AD157" s="11"/>
    </row>
    <row r="158" spans="1:30">
      <c r="W158" s="11"/>
      <c r="Y158" s="11"/>
      <c r="AA158" s="11"/>
      <c r="AC158" s="11"/>
      <c r="AD158" s="11"/>
    </row>
    <row r="159" spans="1:30">
      <c r="Y159" s="11"/>
      <c r="AA159" s="11"/>
      <c r="AC159" s="11"/>
      <c r="AD159" s="11"/>
    </row>
    <row r="160" spans="1:30">
      <c r="Y160" s="11"/>
      <c r="AA160" s="11"/>
      <c r="AC160" s="11"/>
      <c r="AD160" s="11"/>
    </row>
    <row r="161" spans="25:30">
      <c r="Y161" s="11"/>
      <c r="AA161" s="11"/>
      <c r="AC161" s="11"/>
      <c r="AD161" s="11"/>
    </row>
    <row r="162" spans="25:30">
      <c r="Y162" s="11"/>
      <c r="AA162" s="11"/>
      <c r="AC162" s="11"/>
      <c r="AD162" s="11"/>
    </row>
    <row r="163" spans="25:30">
      <c r="Y163" s="11"/>
      <c r="AA163" s="11"/>
      <c r="AC163" s="11"/>
      <c r="AD163" s="11"/>
    </row>
    <row r="164" spans="25:30">
      <c r="Y164" s="11"/>
      <c r="AA164" s="11"/>
      <c r="AC164" s="11"/>
      <c r="AD164" s="11"/>
    </row>
    <row r="165" spans="25:30">
      <c r="Y165" s="11"/>
      <c r="AA165" s="11"/>
      <c r="AC165" s="11"/>
      <c r="AD165" s="11"/>
    </row>
    <row r="166" spans="25:30">
      <c r="Y166" s="11"/>
      <c r="AA166" s="11"/>
      <c r="AC166" s="11"/>
      <c r="AD166" s="11"/>
    </row>
    <row r="167" spans="25:30">
      <c r="Y167" s="11"/>
      <c r="AA167" s="11"/>
      <c r="AC167" s="11"/>
      <c r="AD167" s="11"/>
    </row>
    <row r="168" spans="25:30">
      <c r="Y168" s="11"/>
      <c r="AA168" s="11"/>
      <c r="AC168" s="11"/>
      <c r="AD168" s="11"/>
    </row>
    <row r="169" spans="25:30">
      <c r="AA169" s="11"/>
      <c r="AC169" s="11"/>
      <c r="AD169" s="11"/>
    </row>
    <row r="170" spans="25:30">
      <c r="AA170" s="11"/>
      <c r="AC170" s="11"/>
      <c r="AD170" s="11"/>
    </row>
    <row r="171" spans="25:30">
      <c r="AA171" s="11"/>
      <c r="AC171" s="11"/>
      <c r="AD171" s="11"/>
    </row>
    <row r="172" spans="25:30">
      <c r="AA172" s="11"/>
      <c r="AC172" s="11"/>
      <c r="AD172" s="11"/>
    </row>
    <row r="173" spans="25:30">
      <c r="AA173" s="11"/>
      <c r="AC173" s="11"/>
      <c r="AD173" s="11"/>
    </row>
    <row r="174" spans="25:30">
      <c r="AA174" s="11"/>
      <c r="AC174" s="11"/>
      <c r="AD174" s="11"/>
    </row>
    <row r="175" spans="25:30">
      <c r="AA175" s="11"/>
      <c r="AC175" s="11"/>
      <c r="AD175" s="11"/>
    </row>
    <row r="176" spans="25:30">
      <c r="AA176" s="11"/>
      <c r="AC176" s="11"/>
      <c r="AD176" s="11"/>
    </row>
    <row r="177" spans="27:30">
      <c r="AA177" s="11"/>
      <c r="AC177" s="11"/>
      <c r="AD177" s="11"/>
    </row>
    <row r="178" spans="27:30">
      <c r="AA178" s="11"/>
      <c r="AC178" s="11"/>
      <c r="AD178" s="11"/>
    </row>
  </sheetData>
  <mergeCells count="9">
    <mergeCell ref="G3:J3"/>
    <mergeCell ref="V32:W32"/>
    <mergeCell ref="K53:K54"/>
    <mergeCell ref="E53:E54"/>
    <mergeCell ref="G41:K41"/>
    <mergeCell ref="A41:E41"/>
    <mergeCell ref="K45:K46"/>
    <mergeCell ref="E45:E46"/>
    <mergeCell ref="G27:J27"/>
  </mergeCells>
  <phoneticPr fontId="0" type="noConversion"/>
  <conditionalFormatting sqref="I47:L47">
    <cfRule type="cellIs" dxfId="11" priority="2" operator="greaterThan">
      <formula>$J$42</formula>
    </cfRule>
  </conditionalFormatting>
  <conditionalFormatting sqref="C47:F47">
    <cfRule type="cellIs" dxfId="10" priority="1" operator="greaterThan">
      <formula>$D$42</formula>
    </cfRule>
  </conditionalFormatting>
  <dataValidations count="2">
    <dataValidation type="list" allowBlank="1" showInputMessage="1" showErrorMessage="1" sqref="C6">
      <formula1>Duration</formula1>
    </dataValidation>
    <dataValidation type="list" allowBlank="1" showInputMessage="1" showErrorMessage="1" sqref="C9">
      <formula1>Step</formula1>
    </dataValidation>
  </dataValidations>
  <pageMargins left="0.5" right="0.5" top="1" bottom="1" header="0.5" footer="0.5"/>
  <pageSetup scale="91" fitToHeight="3"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Data!$A$3:$A$8</xm:f>
          </x14:formula1>
          <xm:sqref>C3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70"/>
  <sheetViews>
    <sheetView workbookViewId="0">
      <selection activeCell="I10" sqref="I10"/>
    </sheetView>
  </sheetViews>
  <sheetFormatPr defaultRowHeight="12.75"/>
  <cols>
    <col min="1" max="2" width="9.140625" style="69"/>
    <col min="3" max="3" width="19.7109375" style="69" customWidth="1"/>
    <col min="4" max="4" width="9.140625" style="69" customWidth="1"/>
    <col min="5" max="5" width="5" style="69" customWidth="1"/>
    <col min="6" max="7" width="9.140625" style="69"/>
    <col min="8" max="8" width="18.5703125" style="69" customWidth="1"/>
    <col min="9" max="9" width="9.140625" style="69" customWidth="1"/>
    <col min="10" max="13" width="9.140625" style="69"/>
    <col min="14" max="14" width="11" style="69" customWidth="1"/>
    <col min="15" max="16384" width="9.140625" style="69"/>
  </cols>
  <sheetData>
    <row r="1" spans="1:10" ht="15.75">
      <c r="A1" s="176" t="s">
        <v>215</v>
      </c>
      <c r="B1" s="67"/>
      <c r="C1" s="67"/>
      <c r="D1" s="67"/>
      <c r="E1" s="68"/>
      <c r="F1" s="68"/>
      <c r="G1" s="68"/>
      <c r="H1" s="68"/>
      <c r="I1" s="68"/>
    </row>
    <row r="2" spans="1:10" ht="15.75">
      <c r="A2" s="70"/>
      <c r="B2" s="67"/>
      <c r="C2" s="67"/>
      <c r="D2" s="67"/>
      <c r="E2" s="68"/>
      <c r="F2" s="68"/>
      <c r="G2" s="68"/>
      <c r="H2" s="68"/>
      <c r="I2" s="68"/>
    </row>
    <row r="3" spans="1:10">
      <c r="A3" s="72" t="s">
        <v>15</v>
      </c>
      <c r="D3" s="73" t="s">
        <v>161</v>
      </c>
      <c r="F3" s="72" t="s">
        <v>121</v>
      </c>
    </row>
    <row r="4" spans="1:10" ht="5.0999999999999996" customHeight="1" thickBot="1">
      <c r="A4" s="72"/>
      <c r="D4" s="182"/>
      <c r="F4" s="72"/>
    </row>
    <row r="5" spans="1:10" ht="13.5" thickBot="1">
      <c r="A5" s="74" t="s">
        <v>237</v>
      </c>
      <c r="D5" s="75">
        <v>0.5</v>
      </c>
      <c r="F5" s="69" t="s">
        <v>40</v>
      </c>
      <c r="I5" s="76">
        <v>100</v>
      </c>
    </row>
    <row r="6" spans="1:10" ht="5.0999999999999996" customHeight="1" thickBot="1">
      <c r="A6" s="74"/>
      <c r="D6" s="77"/>
    </row>
    <row r="7" spans="1:10" ht="13.5" thickBot="1">
      <c r="A7" s="69" t="s">
        <v>17</v>
      </c>
      <c r="D7" s="78">
        <v>1</v>
      </c>
      <c r="F7" s="74" t="s">
        <v>19</v>
      </c>
      <c r="I7" s="79">
        <v>45</v>
      </c>
    </row>
    <row r="8" spans="1:10" ht="5.0999999999999996" customHeight="1" thickBot="1">
      <c r="D8" s="80"/>
    </row>
    <row r="9" spans="1:10" ht="13.5" thickBot="1">
      <c r="A9" s="69" t="s">
        <v>18</v>
      </c>
      <c r="D9" s="78">
        <v>3</v>
      </c>
      <c r="F9" s="74" t="s">
        <v>160</v>
      </c>
      <c r="I9" s="79">
        <v>15</v>
      </c>
      <c r="J9" s="81" t="str">
        <f>IF(I9&gt;I7/D11,"Width is too wide","L:W Ratio OK")</f>
        <v>L:W Ratio OK</v>
      </c>
    </row>
    <row r="10" spans="1:10" ht="5.0999999999999996" customHeight="1" thickBot="1"/>
    <row r="11" spans="1:10" ht="13.5" thickBot="1">
      <c r="A11" s="74" t="s">
        <v>125</v>
      </c>
      <c r="D11" s="76">
        <v>3</v>
      </c>
      <c r="F11" s="69" t="s">
        <v>7</v>
      </c>
      <c r="I11" s="79">
        <v>0.9</v>
      </c>
    </row>
    <row r="12" spans="1:10" ht="5.0999999999999996" customHeight="1" thickBot="1">
      <c r="D12" s="82"/>
    </row>
    <row r="13" spans="1:10" ht="13.5" thickBot="1">
      <c r="A13" s="69" t="s">
        <v>3</v>
      </c>
      <c r="D13" s="76">
        <v>3</v>
      </c>
      <c r="F13" s="69" t="s">
        <v>12</v>
      </c>
      <c r="I13" s="83">
        <v>0.5</v>
      </c>
    </row>
    <row r="14" spans="1:10" ht="5.0999999999999996" customHeight="1" thickBot="1">
      <c r="D14" s="82"/>
    </row>
    <row r="15" spans="1:10" ht="13.5" thickBot="1">
      <c r="A15" s="74" t="s">
        <v>16</v>
      </c>
      <c r="D15" s="78">
        <v>0.3</v>
      </c>
      <c r="F15" s="69" t="s">
        <v>8</v>
      </c>
      <c r="I15" s="79">
        <v>1</v>
      </c>
      <c r="J15" s="71" t="str">
        <f>IF((I9-(I11+I15)*2*D13)&lt;=0,"TOO DEEP - Pond Width Must be Increased","")</f>
        <v/>
      </c>
    </row>
    <row r="16" spans="1:10" ht="5.0999999999999996" customHeight="1" thickBot="1">
      <c r="D16" s="80"/>
    </row>
    <row r="17" spans="1:14" ht="13.5" thickBot="1">
      <c r="F17" s="69" t="s">
        <v>268</v>
      </c>
      <c r="I17" s="201">
        <f>+I5-I11</f>
        <v>99.1</v>
      </c>
    </row>
    <row r="18" spans="1:14" ht="5.0999999999999996" customHeight="1" thickBot="1">
      <c r="I18" s="195"/>
    </row>
    <row r="19" spans="1:14" ht="13.5" thickBot="1">
      <c r="F19" s="69" t="s">
        <v>267</v>
      </c>
      <c r="I19" s="201">
        <f>+I17+I13</f>
        <v>99.6</v>
      </c>
    </row>
    <row r="21" spans="1:14">
      <c r="A21" s="244" t="s">
        <v>123</v>
      </c>
      <c r="B21" s="245"/>
      <c r="C21" s="245"/>
      <c r="D21" s="245"/>
      <c r="E21" s="245"/>
      <c r="F21" s="245"/>
      <c r="G21" s="245"/>
      <c r="H21" s="245"/>
      <c r="I21" s="246"/>
    </row>
    <row r="22" spans="1:14" ht="5.0999999999999996" customHeight="1">
      <c r="A22" s="70"/>
      <c r="B22" s="70"/>
      <c r="C22" s="70"/>
      <c r="D22" s="70"/>
      <c r="E22" s="70"/>
      <c r="F22" s="70"/>
      <c r="G22" s="70"/>
      <c r="H22" s="70"/>
      <c r="I22" s="70"/>
    </row>
    <row r="23" spans="1:14" ht="13.5" thickBot="1">
      <c r="A23" s="72" t="s">
        <v>124</v>
      </c>
      <c r="F23" s="72" t="s">
        <v>122</v>
      </c>
    </row>
    <row r="24" spans="1:14" ht="15" thickBot="1">
      <c r="A24" s="74" t="s">
        <v>120</v>
      </c>
      <c r="D24" s="84">
        <f>+'Step 2 Inflow Hydrograph'!J43</f>
        <v>441</v>
      </c>
      <c r="F24" s="69" t="s">
        <v>6</v>
      </c>
      <c r="I24" s="85">
        <f>+I7*I9</f>
        <v>675</v>
      </c>
    </row>
    <row r="25" spans="1:14" ht="5.0999999999999996" customHeight="1">
      <c r="D25" s="86"/>
    </row>
    <row r="26" spans="1:14">
      <c r="F26" s="74" t="s">
        <v>126</v>
      </c>
      <c r="I26" s="85">
        <f>(I9-2*I11*D13)*(I7-2*I11*D13)*I11+(I7-2*I11*D13)*I11^2*D13+(I9-2*I11*D13)*I11^2*D13+1/3*(2*I11*D13)^2*I11</f>
        <v>470.44799999999998</v>
      </c>
    </row>
    <row r="27" spans="1:14" ht="5.0999999999999996" customHeight="1"/>
    <row r="28" spans="1:14">
      <c r="F28" s="69" t="s">
        <v>9</v>
      </c>
      <c r="I28" s="73" t="str">
        <f>IF(I26&gt;=D24,"OK","Insufficient")</f>
        <v>OK</v>
      </c>
      <c r="K28" s="80"/>
      <c r="L28" s="80"/>
      <c r="M28" s="80"/>
      <c r="N28" s="86"/>
    </row>
    <row r="29" spans="1:14">
      <c r="K29" s="80"/>
      <c r="L29" s="80"/>
      <c r="M29" s="80"/>
      <c r="N29" s="86"/>
    </row>
    <row r="30" spans="1:14">
      <c r="A30" s="236" t="s">
        <v>240</v>
      </c>
      <c r="B30" s="237"/>
      <c r="C30" s="237"/>
      <c r="D30" s="237"/>
      <c r="E30" s="237"/>
      <c r="F30" s="237"/>
      <c r="G30" s="237"/>
      <c r="H30" s="237"/>
      <c r="I30" s="238"/>
      <c r="K30" s="80"/>
      <c r="L30" s="80"/>
      <c r="M30" s="80"/>
      <c r="N30" s="86"/>
    </row>
    <row r="31" spans="1:14" ht="5.0999999999999996" customHeight="1">
      <c r="A31" s="14"/>
      <c r="B31" s="14"/>
      <c r="C31" s="14"/>
      <c r="D31" s="14"/>
      <c r="E31" s="14"/>
      <c r="F31" s="14"/>
      <c r="G31" s="14"/>
      <c r="H31" s="14"/>
      <c r="I31" s="14"/>
      <c r="K31" s="80"/>
      <c r="L31" s="80"/>
      <c r="M31" s="80"/>
      <c r="N31" s="86"/>
    </row>
    <row r="32" spans="1:14">
      <c r="A32" s="5" t="s">
        <v>241</v>
      </c>
      <c r="B32" s="14"/>
      <c r="C32" s="14"/>
      <c r="D32" s="10"/>
      <c r="E32" s="14"/>
      <c r="F32" s="72" t="s">
        <v>271</v>
      </c>
      <c r="I32" s="206"/>
      <c r="K32" s="80"/>
      <c r="L32" s="198" t="s">
        <v>261</v>
      </c>
      <c r="M32" s="80"/>
      <c r="N32" s="86"/>
    </row>
    <row r="33" spans="1:15" ht="5.0999999999999996" customHeight="1" thickBot="1">
      <c r="A33" s="14"/>
      <c r="B33" s="14"/>
      <c r="C33" s="14"/>
      <c r="D33" s="14"/>
      <c r="E33" s="14"/>
      <c r="I33" s="205"/>
      <c r="K33" s="80"/>
      <c r="L33" s="80"/>
      <c r="M33" s="80"/>
      <c r="N33" s="86"/>
    </row>
    <row r="34" spans="1:15" ht="15" thickBot="1">
      <c r="A34" s="69" t="s">
        <v>255</v>
      </c>
      <c r="D34" s="201">
        <f>+'Step 2 Inflow Hydrograph'!I16</f>
        <v>2</v>
      </c>
      <c r="E34" s="14"/>
      <c r="F34" s="57" t="s">
        <v>262</v>
      </c>
      <c r="G34" s="14"/>
      <c r="H34" s="14"/>
      <c r="I34" s="204">
        <f>(D38="enhanced")*(INDEX(Data!A$18:D$22,MATCH(D$36,Data!A$18:A$22,1),2)+(D$36-INDEX(Data!A$18:D$22,MATCH(D$36,Data!A$18:A$22,1),1))/(INDEX(Data!A$18:D$22,MATCH(D$36,Data!A$18:A$22,1)+1,1)-INDEX(Data!A$18:D$22,MATCH(D$36,Data!A$18:A$22,1),1))*(INDEX(Data!A$18:D$22,MATCH(D$36,Data!A$18:A$22,1)+1,2)-(INDEX(Data!A$18:D$22,MATCH(D$36,Data!A18:A22,1),2)))*D34)+(D38="normal")*(INDEX(Data!A$18:D$22,MATCH(D$36,Data!A$18:A$22,1),3)+(D$36-INDEX(Data!A$18:D$22,MATCH(D$36,Data!A$18:A$22,1),1))/(INDEX(Data!A$18:D$22,MATCH(D$36,Data!A$18:A$22,1)+1,1)-INDEX(Data!A$18:D$22,MATCH(D$36,Data!A$18:A$22,1),1))*(INDEX(Data!A$18:D$22,MATCH(D$36,Data!A$18:A$22,1)+1,3)-(INDEX(Data!A$18:D$22,MATCH(D$36,Data!A18:A22,1),3)))*D34)+(D38="basic")*(INDEX(Data!A$18:D$22,MATCH(D$36,Data!A$18:A$22,1),4)+(D$36-INDEX(Data!A$18:D$22,MATCH(D$36,Data!A$18:A$22,1),1))/(INDEX(Data!A$18:D$22,MATCH(D$36,Data!A$18:A$22,1)+1,1)-INDEX(Data!A$18:D$22,MATCH(D$36,Data!A$18:A$22,1),1))*(INDEX(Data!A$18:D$22,MATCH(D$36,Data!A$18:A$22,1)+1,4)-(INDEX(Data!A$18:D$22,MATCH(D$36,Data!A18:A22,1),4)))*D34)+(D38="user def'd")*O34</f>
        <v>100</v>
      </c>
      <c r="K34" s="80"/>
      <c r="L34" s="57" t="s">
        <v>263</v>
      </c>
      <c r="M34" s="80"/>
      <c r="N34" s="86"/>
      <c r="O34" s="196">
        <v>1000</v>
      </c>
    </row>
    <row r="35" spans="1:15" ht="5.0999999999999996" customHeight="1" thickBot="1">
      <c r="E35" s="14"/>
      <c r="F35" s="14"/>
      <c r="G35" s="14"/>
      <c r="H35" s="14"/>
      <c r="I35" s="14"/>
      <c r="K35" s="80"/>
      <c r="L35" s="14"/>
      <c r="M35" s="80"/>
      <c r="N35" s="86"/>
      <c r="O35" s="197"/>
    </row>
    <row r="36" spans="1:15" ht="15" thickBot="1">
      <c r="A36" s="69" t="s">
        <v>256</v>
      </c>
      <c r="D36" s="202">
        <v>0.35</v>
      </c>
      <c r="E36" s="14"/>
      <c r="F36" s="57" t="s">
        <v>242</v>
      </c>
      <c r="G36" s="14"/>
      <c r="H36" s="14"/>
      <c r="I36" s="201">
        <f>IF(D38=Data!E17,O36,D34*40)</f>
        <v>80</v>
      </c>
      <c r="K36" s="80"/>
      <c r="L36" s="57" t="s">
        <v>242</v>
      </c>
      <c r="M36" s="80"/>
      <c r="N36" s="86"/>
      <c r="O36" s="196">
        <v>500</v>
      </c>
    </row>
    <row r="37" spans="1:15" ht="5.0999999999999996" customHeight="1" thickBot="1">
      <c r="E37" s="14"/>
      <c r="F37" s="14"/>
      <c r="G37" s="14"/>
      <c r="H37" s="14"/>
      <c r="I37" s="193"/>
      <c r="K37" s="80"/>
      <c r="L37" s="80"/>
      <c r="M37" s="80"/>
      <c r="N37" s="86"/>
    </row>
    <row r="38" spans="1:15" ht="15.75" thickTop="1" thickBot="1">
      <c r="A38" s="69" t="s">
        <v>257</v>
      </c>
      <c r="D38" s="78" t="s">
        <v>258</v>
      </c>
      <c r="E38" s="14"/>
      <c r="F38" s="57" t="s">
        <v>243</v>
      </c>
      <c r="G38" s="14"/>
      <c r="H38" s="14"/>
      <c r="I38" s="184">
        <f>SUM(I34:I37)</f>
        <v>180</v>
      </c>
      <c r="K38" s="80"/>
      <c r="L38" s="80"/>
      <c r="M38" s="80"/>
      <c r="N38" s="86"/>
    </row>
    <row r="39" spans="1:15" ht="5.0999999999999996" customHeight="1">
      <c r="A39" s="14"/>
      <c r="B39" s="14"/>
      <c r="C39" s="14"/>
      <c r="D39" s="14"/>
      <c r="E39" s="14"/>
      <c r="K39" s="80"/>
      <c r="L39" s="80"/>
      <c r="M39" s="80"/>
      <c r="N39" s="86"/>
    </row>
    <row r="40" spans="1:15">
      <c r="A40" s="203" t="s">
        <v>265</v>
      </c>
      <c r="B40" s="14"/>
      <c r="C40" s="14"/>
      <c r="D40" s="194"/>
      <c r="E40" s="14"/>
      <c r="K40" s="80"/>
      <c r="L40" s="80"/>
      <c r="M40" s="80"/>
      <c r="N40" s="86"/>
    </row>
    <row r="41" spans="1:15">
      <c r="A41" s="14"/>
      <c r="B41" s="14"/>
      <c r="C41" s="14"/>
      <c r="D41" s="14"/>
      <c r="E41" s="14"/>
      <c r="F41" s="14"/>
      <c r="G41" s="14"/>
      <c r="H41" s="14"/>
      <c r="I41" s="14"/>
      <c r="K41" s="80"/>
      <c r="L41" s="80"/>
      <c r="M41" s="80"/>
      <c r="N41" s="86"/>
    </row>
    <row r="42" spans="1:15">
      <c r="A42" s="5" t="s">
        <v>246</v>
      </c>
      <c r="B42" s="14"/>
      <c r="C42" s="14"/>
      <c r="D42" s="14"/>
      <c r="E42" s="14"/>
      <c r="F42" s="5" t="s">
        <v>269</v>
      </c>
      <c r="G42" s="14"/>
      <c r="H42" s="14"/>
      <c r="I42" s="14"/>
      <c r="N42" s="86"/>
    </row>
    <row r="43" spans="1:15" ht="5.0999999999999996" customHeight="1">
      <c r="A43" s="14"/>
      <c r="B43" s="14"/>
      <c r="C43" s="14"/>
      <c r="D43" s="14"/>
      <c r="E43" s="14"/>
      <c r="F43" s="14"/>
      <c r="G43" s="14"/>
      <c r="H43" s="14"/>
      <c r="I43" s="14"/>
      <c r="N43" s="86"/>
    </row>
    <row r="44" spans="1:15">
      <c r="A44" s="14" t="s">
        <v>247</v>
      </c>
      <c r="B44" s="14"/>
      <c r="C44" s="14"/>
      <c r="D44" s="34">
        <f>+I7-2*I11*D13</f>
        <v>39.6</v>
      </c>
      <c r="E44" s="14"/>
      <c r="F44" s="14" t="s">
        <v>4</v>
      </c>
      <c r="G44" s="14"/>
      <c r="H44" s="14"/>
      <c r="I44" s="34">
        <f>+I7-2*(I5-I19)*D13</f>
        <v>42.599999999999966</v>
      </c>
      <c r="N44" s="86"/>
    </row>
    <row r="45" spans="1:15" ht="5.0999999999999996" customHeight="1">
      <c r="A45" s="14"/>
      <c r="B45" s="14"/>
      <c r="C45" s="14"/>
      <c r="D45" s="180"/>
      <c r="E45" s="14"/>
      <c r="F45" s="14"/>
      <c r="G45" s="14"/>
      <c r="H45" s="14"/>
      <c r="I45" s="180"/>
      <c r="N45" s="86"/>
    </row>
    <row r="46" spans="1:15">
      <c r="A46" s="57" t="s">
        <v>248</v>
      </c>
      <c r="B46" s="14"/>
      <c r="C46" s="14"/>
      <c r="D46" s="34">
        <f>+I9-2*I11*D13</f>
        <v>9.6</v>
      </c>
      <c r="E46" s="14"/>
      <c r="F46" s="57" t="s">
        <v>5</v>
      </c>
      <c r="G46" s="14"/>
      <c r="H46" s="14"/>
      <c r="I46" s="34">
        <f>+I9-2*(I5-I19)*D13</f>
        <v>12.599999999999966</v>
      </c>
    </row>
    <row r="47" spans="1:15" ht="5.0999999999999996" customHeight="1">
      <c r="A47" s="14"/>
      <c r="B47" s="14"/>
      <c r="C47" s="14"/>
      <c r="D47" s="180"/>
      <c r="E47" s="14"/>
      <c r="F47" s="14"/>
      <c r="G47" s="14"/>
      <c r="H47" s="14"/>
      <c r="I47" s="180"/>
    </row>
    <row r="48" spans="1:15">
      <c r="A48" s="14" t="s">
        <v>249</v>
      </c>
      <c r="B48" s="14"/>
      <c r="C48" s="14"/>
      <c r="D48" s="184">
        <f>(I46-2*I15*D13)*(I44-2*I15*D13)*I15+(I44-2*I15*D13)*I15^2*D13+(I46-2*I15*D13)*I15^2*D13+1/3*(2*I15*D13)^2*I15</f>
        <v>383.15999999999832</v>
      </c>
      <c r="E48" s="14"/>
      <c r="F48" s="14" t="s">
        <v>244</v>
      </c>
      <c r="G48" s="14"/>
      <c r="H48" s="14"/>
      <c r="I48" s="184">
        <f>(I46-2*I13*D13)*(I44-2*I13*D13)*I13+(I44-2*I13*D13)*I13^2*D13+(I46-2*I13*D13)*I13^2*D13+1/3*(2*I13*D13)^2*I13</f>
        <v>228.47999999999911</v>
      </c>
    </row>
    <row r="49" spans="1:11" ht="5.0999999999999996" customHeight="1">
      <c r="A49" s="14"/>
      <c r="B49" s="14"/>
      <c r="C49" s="14"/>
      <c r="D49" s="14"/>
      <c r="E49" s="14"/>
      <c r="F49" s="14"/>
      <c r="G49" s="14"/>
      <c r="H49" s="14"/>
      <c r="I49" s="14"/>
    </row>
    <row r="50" spans="1:11">
      <c r="A50" s="14" t="s">
        <v>250</v>
      </c>
      <c r="B50" s="14"/>
      <c r="C50" s="14"/>
      <c r="D50" s="180" t="str">
        <f>IF(D48&gt;=I34,"OK","Insufficient")</f>
        <v>OK</v>
      </c>
      <c r="E50" s="14"/>
      <c r="F50" s="57" t="s">
        <v>245</v>
      </c>
      <c r="G50" s="14"/>
      <c r="H50" s="14"/>
      <c r="I50" s="180" t="str">
        <f>IF(I48&gt;=I36,"OK","Insufficient")</f>
        <v>OK</v>
      </c>
    </row>
    <row r="51" spans="1:11" ht="5.0999999999999996" customHeight="1">
      <c r="A51" s="57"/>
      <c r="B51" s="14"/>
      <c r="C51" s="14"/>
      <c r="D51" s="180"/>
      <c r="E51" s="14"/>
      <c r="K51" s="80"/>
    </row>
    <row r="52" spans="1:11">
      <c r="A52" s="57"/>
      <c r="B52" s="14"/>
      <c r="C52" s="14"/>
      <c r="D52" s="180"/>
      <c r="E52" s="14"/>
      <c r="K52" s="80"/>
    </row>
    <row r="53" spans="1:11">
      <c r="A53" s="57"/>
      <c r="B53" s="14"/>
      <c r="C53" s="14"/>
      <c r="D53" s="180"/>
      <c r="E53" s="14"/>
      <c r="K53" s="80"/>
    </row>
    <row r="54" spans="1:11">
      <c r="K54" s="80"/>
    </row>
    <row r="55" spans="1:11">
      <c r="A55" s="236" t="s">
        <v>235</v>
      </c>
      <c r="B55" s="237"/>
      <c r="C55" s="237"/>
      <c r="D55" s="237"/>
      <c r="E55" s="237"/>
      <c r="F55" s="237"/>
      <c r="G55" s="237"/>
      <c r="H55" s="237"/>
      <c r="I55" s="238"/>
    </row>
    <row r="56" spans="1:11" ht="14.25">
      <c r="A56" s="57" t="s">
        <v>236</v>
      </c>
      <c r="B56" s="14"/>
      <c r="C56" s="14"/>
      <c r="D56" s="184">
        <f>+I7*I9</f>
        <v>675</v>
      </c>
      <c r="E56" s="57" t="s">
        <v>230</v>
      </c>
      <c r="F56" s="14" t="s">
        <v>233</v>
      </c>
    </row>
    <row r="57" spans="1:11">
      <c r="A57" s="14" t="s">
        <v>231</v>
      </c>
      <c r="B57" s="14"/>
      <c r="C57" s="14"/>
      <c r="D57" s="34">
        <f>+I11+I15</f>
        <v>1.9</v>
      </c>
      <c r="E57" s="57" t="s">
        <v>20</v>
      </c>
      <c r="F57" s="187" t="s">
        <v>19</v>
      </c>
      <c r="G57" s="14"/>
      <c r="H57" s="14"/>
      <c r="I57" s="34">
        <f>+I7+(D13-D15+D7+D9)*2</f>
        <v>58.4</v>
      </c>
      <c r="J57" s="57"/>
    </row>
    <row r="58" spans="1:11">
      <c r="A58" s="185" t="s">
        <v>232</v>
      </c>
      <c r="B58" s="14"/>
      <c r="C58" s="14"/>
      <c r="D58" s="186">
        <f>+D56/D5/10000</f>
        <v>0.13500000000000001</v>
      </c>
      <c r="E58" s="14"/>
      <c r="F58" s="187" t="s">
        <v>270</v>
      </c>
      <c r="G58" s="14"/>
      <c r="H58" s="14"/>
      <c r="I58" s="34">
        <f>+I9+(D13*D15+D7+D9)*2</f>
        <v>24.8</v>
      </c>
      <c r="J58" s="57"/>
    </row>
    <row r="59" spans="1:11">
      <c r="B59" s="14"/>
      <c r="C59" s="14"/>
      <c r="D59" s="138"/>
      <c r="E59" s="14"/>
      <c r="F59" s="187" t="s">
        <v>137</v>
      </c>
      <c r="G59" s="14"/>
      <c r="H59" s="14"/>
      <c r="I59" s="139">
        <f>+I58*I57/10000</f>
        <v>0.14483199999999999</v>
      </c>
      <c r="J59" s="57"/>
    </row>
    <row r="60" spans="1:11">
      <c r="F60" s="14" t="s">
        <v>234</v>
      </c>
      <c r="G60" s="14"/>
      <c r="H60" s="14"/>
      <c r="I60" s="188">
        <f>+I59/D5</f>
        <v>0.28966399999999998</v>
      </c>
      <c r="J60" s="14"/>
    </row>
    <row r="66" spans="2:2">
      <c r="B66" s="87" t="s">
        <v>14</v>
      </c>
    </row>
    <row r="67" spans="2:2">
      <c r="B67" s="74" t="s">
        <v>127</v>
      </c>
    </row>
    <row r="68" spans="2:2">
      <c r="B68" s="74" t="s">
        <v>239</v>
      </c>
    </row>
    <row r="69" spans="2:2">
      <c r="B69" s="146" t="s">
        <v>238</v>
      </c>
    </row>
    <row r="70" spans="2:2">
      <c r="B70" s="74" t="s">
        <v>140</v>
      </c>
    </row>
  </sheetData>
  <mergeCells count="3">
    <mergeCell ref="A21:I21"/>
    <mergeCell ref="A30:I30"/>
    <mergeCell ref="A55:I55"/>
  </mergeCells>
  <conditionalFormatting sqref="I5 D13:D14 D16">
    <cfRule type="cellIs" dxfId="9" priority="7" stopIfTrue="1" operator="lessThan">
      <formula>5</formula>
    </cfRule>
  </conditionalFormatting>
  <conditionalFormatting sqref="D11:D12">
    <cfRule type="cellIs" dxfId="8" priority="6" stopIfTrue="1" operator="lessThan">
      <formula>3</formula>
    </cfRule>
  </conditionalFormatting>
  <conditionalFormatting sqref="J15">
    <cfRule type="expression" dxfId="7" priority="5" stopIfTrue="1">
      <formula>(I9-(I11+I15)*2*D13)&lt;=0</formula>
    </cfRule>
  </conditionalFormatting>
  <conditionalFormatting sqref="J9">
    <cfRule type="expression" dxfId="6" priority="4">
      <formula>I9&gt;I7/D11</formula>
    </cfRule>
  </conditionalFormatting>
  <conditionalFormatting sqref="I28">
    <cfRule type="expression" dxfId="5" priority="3" stopIfTrue="1">
      <formula>I26&lt;D24</formula>
    </cfRule>
  </conditionalFormatting>
  <conditionalFormatting sqref="D50">
    <cfRule type="expression" dxfId="4" priority="22" stopIfTrue="1">
      <formula>D48&lt;I34</formula>
    </cfRule>
  </conditionalFormatting>
  <conditionalFormatting sqref="D51">
    <cfRule type="expression" dxfId="3" priority="23" stopIfTrue="1">
      <formula>I49&lt;I37</formula>
    </cfRule>
  </conditionalFormatting>
  <conditionalFormatting sqref="I50">
    <cfRule type="expression" dxfId="2" priority="24" stopIfTrue="1">
      <formula>I48&lt;I36</formula>
    </cfRule>
  </conditionalFormatting>
  <conditionalFormatting sqref="D52:D53">
    <cfRule type="expression" dxfId="1" priority="25" stopIfTrue="1">
      <formula>I49&lt;I37</formula>
    </cfRule>
  </conditionalFormatting>
  <dataValidations count="4">
    <dataValidation type="list" allowBlank="1" showInputMessage="1" showErrorMessage="1" sqref="D38">
      <formula1>Protection</formula1>
    </dataValidation>
    <dataValidation type="decimal" allowBlank="1" showInputMessage="1" showErrorMessage="1" sqref="J34">
      <formula1>0.15</formula1>
      <formula2>1</formula2>
    </dataValidation>
    <dataValidation errorStyle="warning" allowBlank="1" showInputMessage="1" showErrorMessage="1" errorTitle="Impervious Percentage" error="This value must be greater than 0.15 and less than 1.0" sqref="D37"/>
    <dataValidation type="decimal" allowBlank="1" showInputMessage="1" showErrorMessage="1" errorTitle="Percent Imperviousness" error="Select a value between 0.15 and 1.0" sqref="D36">
      <formula1>0.15</formula1>
      <formula2>1</formula2>
    </dataValidation>
  </dataValidations>
  <pageMargins left="0.5" right="0.4" top="1" bottom="1" header="0.5" footer="0.5"/>
  <pageSetup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26"/>
  <sheetViews>
    <sheetView workbookViewId="0">
      <selection activeCell="N29" sqref="N29"/>
    </sheetView>
  </sheetViews>
  <sheetFormatPr defaultRowHeight="12.75"/>
  <cols>
    <col min="1" max="3" width="9.7109375" style="69" customWidth="1"/>
    <col min="4" max="5" width="10.28515625" style="69" customWidth="1"/>
    <col min="6" max="6" width="13.5703125" style="89" customWidth="1"/>
    <col min="7" max="7" width="11.28515625" style="89" customWidth="1"/>
    <col min="8" max="8" width="12.5703125" style="69" customWidth="1"/>
    <col min="9" max="9" width="12.42578125" style="69" customWidth="1"/>
    <col min="10" max="10" width="1.42578125" style="69" customWidth="1"/>
    <col min="11" max="11" width="8.7109375" style="69" customWidth="1"/>
    <col min="12" max="12" width="1.42578125" style="69" customWidth="1"/>
    <col min="13" max="13" width="10.42578125" style="69" customWidth="1"/>
    <col min="14" max="14" width="14" style="69" customWidth="1"/>
    <col min="15" max="16" width="9.140625" style="69"/>
    <col min="17" max="17" width="9.7109375" style="69" customWidth="1"/>
    <col min="18" max="18" width="16.28515625" style="69" customWidth="1"/>
    <col min="19" max="19" width="9.140625" style="69"/>
    <col min="20" max="20" width="6.5703125" style="69" customWidth="1"/>
    <col min="21" max="16384" width="9.140625" style="69"/>
  </cols>
  <sheetData>
    <row r="1" spans="1:22" ht="15.75">
      <c r="A1" s="176" t="s">
        <v>216</v>
      </c>
      <c r="B1" s="67"/>
      <c r="C1" s="67"/>
      <c r="D1" s="67"/>
      <c r="E1" s="67"/>
      <c r="F1" s="88"/>
      <c r="G1" s="88"/>
      <c r="H1" s="67"/>
      <c r="I1" s="67"/>
      <c r="J1" s="67"/>
    </row>
    <row r="3" spans="1:22">
      <c r="A3" s="72" t="s">
        <v>0</v>
      </c>
      <c r="E3" s="73" t="s">
        <v>161</v>
      </c>
    </row>
    <row r="4" spans="1:22" ht="15.75" thickBot="1">
      <c r="A4" s="69" t="s">
        <v>3</v>
      </c>
      <c r="E4" s="90">
        <f>+'Step 3 Pond Sizing'!D13</f>
        <v>3</v>
      </c>
      <c r="G4" s="91" t="s">
        <v>162</v>
      </c>
      <c r="I4" s="93"/>
      <c r="J4" s="93"/>
      <c r="K4" s="93"/>
      <c r="L4" s="93"/>
    </row>
    <row r="5" spans="1:22" ht="15.75" thickBot="1">
      <c r="E5" s="90"/>
      <c r="G5" s="95" t="s">
        <v>39</v>
      </c>
      <c r="I5" s="91" t="s">
        <v>163</v>
      </c>
      <c r="J5" s="91"/>
      <c r="K5" s="106">
        <v>0.6</v>
      </c>
      <c r="L5" s="173"/>
      <c r="M5" s="92" t="s">
        <v>20</v>
      </c>
    </row>
    <row r="6" spans="1:22" ht="15.75" thickBot="1">
      <c r="A6" s="72" t="s">
        <v>10</v>
      </c>
      <c r="E6" s="90"/>
      <c r="G6" s="92" t="s">
        <v>164</v>
      </c>
      <c r="I6" s="91" t="s">
        <v>198</v>
      </c>
      <c r="J6" s="91"/>
      <c r="K6" s="106">
        <v>99.8</v>
      </c>
      <c r="L6" s="173"/>
      <c r="M6" s="92" t="s">
        <v>20</v>
      </c>
    </row>
    <row r="7" spans="1:22" ht="15">
      <c r="A7" s="69" t="s">
        <v>128</v>
      </c>
      <c r="D7" s="94"/>
      <c r="E7" s="90">
        <f>+'Step 3 Pond Sizing'!I5</f>
        <v>100</v>
      </c>
      <c r="G7" s="69"/>
      <c r="I7" s="171" t="s">
        <v>209</v>
      </c>
      <c r="J7" s="171"/>
      <c r="K7" s="93"/>
      <c r="L7" s="93"/>
      <c r="M7" s="96"/>
    </row>
    <row r="8" spans="1:22" ht="15">
      <c r="A8" s="69" t="s">
        <v>7</v>
      </c>
      <c r="E8" s="90">
        <f>+'Step 3 Pond Sizing'!I11</f>
        <v>0.9</v>
      </c>
      <c r="G8" s="92"/>
    </row>
    <row r="9" spans="1:22">
      <c r="A9" s="74" t="s">
        <v>157</v>
      </c>
      <c r="E9" s="73">
        <f>ROUND((E7-E8),3)</f>
        <v>99.1</v>
      </c>
      <c r="G9" s="69"/>
    </row>
    <row r="10" spans="1:22" ht="13.5" thickBot="1">
      <c r="A10" s="69" t="s">
        <v>4</v>
      </c>
      <c r="E10" s="73">
        <f>+'Step 3 Pond Sizing'!I7</f>
        <v>45</v>
      </c>
      <c r="G10" s="72" t="s">
        <v>38</v>
      </c>
      <c r="K10" s="102"/>
      <c r="L10" s="102"/>
      <c r="M10" s="102"/>
    </row>
    <row r="11" spans="1:22" ht="13.5" thickBot="1">
      <c r="A11" s="69" t="s">
        <v>5</v>
      </c>
      <c r="E11" s="97">
        <f>+'Step 3 Pond Sizing'!I9</f>
        <v>15</v>
      </c>
      <c r="G11" s="87" t="s">
        <v>39</v>
      </c>
      <c r="I11" s="145" t="s">
        <v>197</v>
      </c>
      <c r="J11" s="145"/>
      <c r="K11" s="106">
        <v>99</v>
      </c>
      <c r="L11" s="173"/>
      <c r="M11" s="80" t="s">
        <v>20</v>
      </c>
    </row>
    <row r="12" spans="1:22" ht="16.5" thickBot="1">
      <c r="A12" s="69" t="s">
        <v>6</v>
      </c>
      <c r="E12" s="98">
        <f>+'Step 3 Pond Sizing'!I24</f>
        <v>675</v>
      </c>
      <c r="G12" s="103" t="s">
        <v>301</v>
      </c>
      <c r="I12" s="145" t="s">
        <v>166</v>
      </c>
      <c r="J12" s="145"/>
      <c r="K12" s="106">
        <v>0.6</v>
      </c>
      <c r="L12" s="173"/>
    </row>
    <row r="13" spans="1:22" ht="13.5" thickBot="1">
      <c r="A13" s="69" t="s">
        <v>11</v>
      </c>
      <c r="E13" s="85">
        <f>+'Step 3 Pond Sizing'!I26</f>
        <v>470.44799999999998</v>
      </c>
      <c r="F13" s="89" t="s">
        <v>165</v>
      </c>
      <c r="I13" s="145" t="s">
        <v>130</v>
      </c>
      <c r="J13" s="145"/>
      <c r="K13" s="105">
        <v>0.27</v>
      </c>
      <c r="L13" s="174"/>
      <c r="M13" s="80" t="s">
        <v>20</v>
      </c>
      <c r="U13" s="100"/>
      <c r="V13" s="100"/>
    </row>
    <row r="14" spans="1:22" ht="15" thickBot="1">
      <c r="I14" s="146" t="s">
        <v>131</v>
      </c>
      <c r="J14" s="146"/>
      <c r="K14" s="107">
        <f>+K13*K13/4*3.14159</f>
        <v>5.7255477750000006E-2</v>
      </c>
      <c r="L14" s="107"/>
      <c r="M14" s="69" t="s">
        <v>36</v>
      </c>
    </row>
    <row r="15" spans="1:22" ht="13.5" thickBot="1">
      <c r="A15" s="72" t="s">
        <v>129</v>
      </c>
      <c r="E15" s="99">
        <v>0.1</v>
      </c>
      <c r="F15" s="100"/>
      <c r="G15" s="100"/>
      <c r="I15" s="147" t="s">
        <v>196</v>
      </c>
      <c r="J15" s="147"/>
      <c r="K15" s="148">
        <f>+K11+K13</f>
        <v>99.27</v>
      </c>
      <c r="L15" s="148"/>
      <c r="M15" s="80" t="s">
        <v>20</v>
      </c>
    </row>
    <row r="16" spans="1:22">
      <c r="E16" s="177" t="s">
        <v>25</v>
      </c>
      <c r="F16" s="100"/>
      <c r="G16" s="100"/>
    </row>
    <row r="17" spans="1:17" ht="13.5" thickBot="1">
      <c r="E17" s="101"/>
      <c r="F17" s="100"/>
      <c r="G17" s="100"/>
    </row>
    <row r="18" spans="1:17" ht="13.5" thickBot="1">
      <c r="A18" s="72" t="s">
        <v>221</v>
      </c>
      <c r="D18" s="248" t="s">
        <v>38</v>
      </c>
      <c r="E18" s="249"/>
      <c r="F18" s="100"/>
      <c r="G18" s="100"/>
    </row>
    <row r="19" spans="1:17" ht="13.5" thickBot="1">
      <c r="F19" s="69"/>
      <c r="G19" s="69"/>
      <c r="N19" s="247"/>
      <c r="O19" s="247"/>
    </row>
    <row r="20" spans="1:17" ht="13.5" thickBot="1">
      <c r="A20" s="72" t="s">
        <v>222</v>
      </c>
      <c r="D20" s="248" t="s">
        <v>219</v>
      </c>
      <c r="E20" s="249"/>
      <c r="F20" s="69"/>
      <c r="G20" s="69"/>
      <c r="H20" s="73"/>
      <c r="N20" s="104"/>
      <c r="O20" s="104"/>
    </row>
    <row r="21" spans="1:17">
      <c r="F21" s="69"/>
      <c r="G21" s="69"/>
      <c r="I21" s="73"/>
      <c r="J21" s="73"/>
      <c r="K21" s="73"/>
      <c r="L21" s="73"/>
    </row>
    <row r="22" spans="1:17">
      <c r="F22" s="69"/>
      <c r="G22" s="73"/>
      <c r="I22" s="73"/>
      <c r="J22" s="73"/>
    </row>
    <row r="23" spans="1:17">
      <c r="G23" s="250" t="s">
        <v>38</v>
      </c>
      <c r="H23" s="251"/>
      <c r="I23" s="250" t="s">
        <v>162</v>
      </c>
      <c r="J23" s="253"/>
      <c r="K23" s="253"/>
      <c r="L23" s="251"/>
      <c r="M23" s="252" t="s">
        <v>210</v>
      </c>
      <c r="O23" s="254" t="s">
        <v>223</v>
      </c>
      <c r="P23" s="254"/>
      <c r="Q23" s="254"/>
    </row>
    <row r="24" spans="1:17" ht="14.25">
      <c r="A24" s="73" t="s">
        <v>21</v>
      </c>
      <c r="B24" s="73" t="s">
        <v>22</v>
      </c>
      <c r="C24" s="73" t="s">
        <v>23</v>
      </c>
      <c r="D24" s="73" t="s">
        <v>27</v>
      </c>
      <c r="E24" s="73" t="s">
        <v>26</v>
      </c>
      <c r="F24" s="108" t="s">
        <v>156</v>
      </c>
      <c r="G24" s="108" t="s">
        <v>194</v>
      </c>
      <c r="H24" s="73" t="s">
        <v>195</v>
      </c>
      <c r="I24" s="108" t="s">
        <v>194</v>
      </c>
      <c r="J24" s="108"/>
      <c r="K24" s="73" t="s">
        <v>195</v>
      </c>
      <c r="L24" s="73"/>
      <c r="M24" s="252"/>
      <c r="O24" s="72"/>
      <c r="P24" s="255" t="s">
        <v>205</v>
      </c>
      <c r="Q24" s="255"/>
    </row>
    <row r="25" spans="1:17">
      <c r="A25" s="109" t="s">
        <v>20</v>
      </c>
      <c r="B25" s="109" t="s">
        <v>20</v>
      </c>
      <c r="C25" s="109" t="s">
        <v>20</v>
      </c>
      <c r="D25" s="109" t="s">
        <v>24</v>
      </c>
      <c r="E25" s="109" t="s">
        <v>24</v>
      </c>
      <c r="F25" s="110" t="s">
        <v>20</v>
      </c>
      <c r="G25" s="110" t="s">
        <v>20</v>
      </c>
      <c r="H25" s="111" t="s">
        <v>29</v>
      </c>
      <c r="I25" s="110" t="s">
        <v>20</v>
      </c>
      <c r="J25" s="110"/>
      <c r="K25" s="111" t="s">
        <v>29</v>
      </c>
      <c r="L25" s="111"/>
      <c r="M25" s="111" t="s">
        <v>29</v>
      </c>
      <c r="O25" s="73" t="s">
        <v>224</v>
      </c>
      <c r="P25" s="178" t="s">
        <v>225</v>
      </c>
      <c r="Q25" s="73" t="s">
        <v>226</v>
      </c>
    </row>
    <row r="26" spans="1:17">
      <c r="A26" s="72">
        <f>+E9</f>
        <v>99.1</v>
      </c>
      <c r="B26" s="69">
        <f>IF(D$20=Data!F$4,"",E10-E8*E4*2)</f>
        <v>39.6</v>
      </c>
      <c r="C26" s="69">
        <f>IF(D$20=Data!F$4,"",E11-E8*E4*2)</f>
        <v>9.6</v>
      </c>
      <c r="D26" s="112">
        <v>0</v>
      </c>
      <c r="E26" s="112">
        <f>+D26</f>
        <v>0</v>
      </c>
      <c r="F26" s="113">
        <f t="shared" ref="F26:F57" si="0">IF(INT((A26+E$8-E$7)*100)/100&gt;=0,ROUND(-E$7+E$8+A26,3),E$8)</f>
        <v>0</v>
      </c>
      <c r="G26" s="113">
        <f t="shared" ref="G26:G57" si="1">F26+E$9-K$11-K$13/2</f>
        <v>-3.5000000000005693E-2</v>
      </c>
      <c r="H26" s="172">
        <f t="shared" ref="H26:H57" si="2">IF(G26&gt;=K$13/2,K$12*K$14*(2*9.81*G26)^0.5,IF(G26&lt;0,1.38*(A26-K$11)^2.5,2*G26/K$13*K$12*K$14*(2*9.81*G26)^0.5+(1-2*G26/K$13)*1.38*G26^2.5))</f>
        <v>4.3639431710317386E-3</v>
      </c>
      <c r="I26" s="172">
        <f t="shared" ref="I26:I57" si="3">IF(INT(A26+E$8-E$7)*100/100&lt;0,E$7-K$6,IF(A26&lt;=K$6,0,A26-K$6))</f>
        <v>0</v>
      </c>
      <c r="J26" s="172"/>
      <c r="K26" s="172">
        <f t="shared" ref="K26:K57" si="4">(K$5-0.2*I26)*1.84*(I26)^1.5</f>
        <v>0</v>
      </c>
      <c r="L26" s="172"/>
      <c r="M26" s="107">
        <f>IF(D$18=Data!E$3,H26,IF(D$18=Data!E$4,K26,H26+K26))</f>
        <v>4.3639431710317386E-3</v>
      </c>
      <c r="N26" s="108"/>
      <c r="O26" s="69">
        <f>+A26</f>
        <v>99.1</v>
      </c>
      <c r="P26" s="72">
        <v>0</v>
      </c>
      <c r="Q26" s="69">
        <f>+P26</f>
        <v>0</v>
      </c>
    </row>
    <row r="27" spans="1:17">
      <c r="A27" s="72">
        <f>IF(AND(ROUND(A26,3)&lt;E$7,A26&gt;=A$26),A26+E$15,0)</f>
        <v>99.199999999999989</v>
      </c>
      <c r="B27" s="69">
        <f>IF(D$20=Data!F$4,"",IF(A27=0,0,+B26+E$15*E$4*2))</f>
        <v>40.200000000000003</v>
      </c>
      <c r="C27" s="69">
        <f>IF(D$20=Data!F$4,"",IF(A27=0,0,+C26+E$15*E$4*2))</f>
        <v>10.199999999999999</v>
      </c>
      <c r="D27" s="112">
        <f>IF(D$20=Data!F$4,'Step 4 Stage Discharge'!P27,IF(A27&gt;=E$7-E$8,C26*B26*E$15+E$4*E$15^2*(B26+C26)+1/3*(2*E$15*E$4)^2*E$15,0))</f>
        <v>39.504000000000005</v>
      </c>
      <c r="E27" s="112">
        <f t="shared" ref="E27:E90" si="5">+E26+D27</f>
        <v>39.504000000000005</v>
      </c>
      <c r="F27" s="113">
        <f t="shared" si="0"/>
        <v>0.1</v>
      </c>
      <c r="G27" s="113">
        <f t="shared" si="1"/>
        <v>6.4999999999988622E-2</v>
      </c>
      <c r="H27" s="172">
        <f t="shared" si="2"/>
        <v>1.9449792341953941E-2</v>
      </c>
      <c r="I27" s="172">
        <f t="shared" si="3"/>
        <v>0</v>
      </c>
      <c r="J27" s="172"/>
      <c r="K27" s="172">
        <f t="shared" si="4"/>
        <v>0</v>
      </c>
      <c r="L27" s="172"/>
      <c r="M27" s="107">
        <f>IF(D$18=Data!E$3,H27,IF(D$18=Data!E$4,K27,H27+K27))</f>
        <v>1.9449792341953941E-2</v>
      </c>
      <c r="N27" s="108"/>
      <c r="O27" s="69">
        <f t="shared" ref="O27:O90" si="6">+A27</f>
        <v>99.199999999999989</v>
      </c>
      <c r="P27" s="72">
        <v>7</v>
      </c>
      <c r="Q27" s="69">
        <f>+Q26+P27</f>
        <v>7</v>
      </c>
    </row>
    <row r="28" spans="1:17">
      <c r="A28" s="72">
        <f>IF(AND(ROUND(A27,3)&lt;E$7,A27&gt;=A$26),A27+E$15,0)</f>
        <v>99.299999999999983</v>
      </c>
      <c r="B28" s="69">
        <f>IF(D$20=Data!F$4,"",IF(A28=0,0,+B27+E$15*E$4*2))</f>
        <v>40.800000000000004</v>
      </c>
      <c r="C28" s="69">
        <f>IF(D$20=Data!F$4,"",IF(A28=0,0,+C27+E$15*E$4*2))</f>
        <v>10.799999999999999</v>
      </c>
      <c r="D28" s="112">
        <f>IF(D$20=Data!F$4,'Step 4 Stage Discharge'!P28,IF(A28&gt;=E$7-E$8,C27*B27*E$15+E$4*E$15^2*(B27+C27)+1/3*(2*E$15*E$4)^2*E$15,0))</f>
        <v>42.528000000000006</v>
      </c>
      <c r="E28" s="112">
        <f t="shared" si="5"/>
        <v>82.032000000000011</v>
      </c>
      <c r="F28" s="113">
        <f t="shared" si="0"/>
        <v>0.2</v>
      </c>
      <c r="G28" s="113">
        <f t="shared" si="1"/>
        <v>0.16499999999999715</v>
      </c>
      <c r="H28" s="172">
        <f t="shared" si="2"/>
        <v>6.1810145635073227E-2</v>
      </c>
      <c r="I28" s="172">
        <f t="shared" si="3"/>
        <v>0</v>
      </c>
      <c r="J28" s="172"/>
      <c r="K28" s="172">
        <f t="shared" si="4"/>
        <v>0</v>
      </c>
      <c r="L28" s="172"/>
      <c r="M28" s="107">
        <f>IF(D$18=Data!E$3,H28,IF(D$18=Data!E$4,K28,H28+K28))</f>
        <v>6.1810145635073227E-2</v>
      </c>
      <c r="N28" s="108"/>
      <c r="O28" s="69">
        <f t="shared" si="6"/>
        <v>99.299999999999983</v>
      </c>
      <c r="P28" s="72">
        <v>12</v>
      </c>
      <c r="Q28" s="69">
        <f t="shared" ref="Q28:Q91" si="7">+Q27+P28</f>
        <v>19</v>
      </c>
    </row>
    <row r="29" spans="1:17">
      <c r="A29" s="72">
        <f>IF(AND(ROUND(A28,3)&lt;E$7,A28&gt;=A$26),A28+E$15,0)</f>
        <v>99.399999999999977</v>
      </c>
      <c r="B29" s="69">
        <f>IF(D$20=Data!F$4,"",IF(A29=0,0,+B28+E$15*E$4*2))</f>
        <v>41.400000000000006</v>
      </c>
      <c r="C29" s="69">
        <f>IF(D$20=Data!F$4,"",IF(A29=0,0,+C28+E$15*E$4*2))</f>
        <v>11.399999999999999</v>
      </c>
      <c r="D29" s="112">
        <f>IF(D$20=Data!F$4,'Step 4 Stage Discharge'!P29,IF(A29&gt;=E$7-E$8,C28*B28*E$15+E$4*E$15^2*(B28+C28)+1/3*(2*E$15*E$4)^2*E$15,0))</f>
        <v>45.624000000000002</v>
      </c>
      <c r="E29" s="112">
        <f t="shared" si="5"/>
        <v>127.65600000000001</v>
      </c>
      <c r="F29" s="113">
        <f t="shared" si="0"/>
        <v>0.3</v>
      </c>
      <c r="G29" s="113">
        <f t="shared" si="1"/>
        <v>0.26499999999999146</v>
      </c>
      <c r="H29" s="172">
        <f t="shared" si="2"/>
        <v>7.8332273522501564E-2</v>
      </c>
      <c r="I29" s="172">
        <f t="shared" si="3"/>
        <v>0</v>
      </c>
      <c r="J29" s="172"/>
      <c r="K29" s="172">
        <f t="shared" si="4"/>
        <v>0</v>
      </c>
      <c r="L29" s="172"/>
      <c r="M29" s="107">
        <f>IF(D$18=Data!E$3,H29,IF(D$18=Data!E$4,K29,H29+K29))</f>
        <v>7.8332273522501564E-2</v>
      </c>
      <c r="N29" s="108"/>
      <c r="O29" s="69">
        <f t="shared" si="6"/>
        <v>99.399999999999977</v>
      </c>
      <c r="P29" s="72">
        <v>18</v>
      </c>
      <c r="Q29" s="69">
        <f t="shared" si="7"/>
        <v>37</v>
      </c>
    </row>
    <row r="30" spans="1:17">
      <c r="A30" s="72">
        <f>IF(AND(ROUND(A29,3)&lt;E$7,A29&gt;=A$26),A29+E$15,0)</f>
        <v>99.499999999999972</v>
      </c>
      <c r="B30" s="69">
        <f>IF(D$20=Data!F$4,"",IF(A30=0,0,+B29+E$15*E$4*2))</f>
        <v>42.000000000000007</v>
      </c>
      <c r="C30" s="69">
        <f>IF(D$20=Data!F$4,"",IF(A30=0,0,+C29+E$15*E$4*2))</f>
        <v>11.999999999999998</v>
      </c>
      <c r="D30" s="112">
        <f>IF(D$20=Data!F$4,'Step 4 Stage Discharge'!P30,IF(A30&gt;=E$7-E$8,C29*B29*E$15+E$4*E$15^2*(B29+C29)+1/3*(2*E$15*E$4)^2*E$15,0))</f>
        <v>48.792000000000002</v>
      </c>
      <c r="E30" s="112">
        <f t="shared" si="5"/>
        <v>176.44800000000001</v>
      </c>
      <c r="F30" s="113">
        <f t="shared" si="0"/>
        <v>0.4</v>
      </c>
      <c r="G30" s="113">
        <f t="shared" si="1"/>
        <v>0.36499999999999999</v>
      </c>
      <c r="H30" s="172">
        <f t="shared" si="2"/>
        <v>9.1931474735149135E-2</v>
      </c>
      <c r="I30" s="172">
        <f t="shared" si="3"/>
        <v>0</v>
      </c>
      <c r="J30" s="172"/>
      <c r="K30" s="172">
        <f t="shared" si="4"/>
        <v>0</v>
      </c>
      <c r="L30" s="172"/>
      <c r="M30" s="107">
        <f>IF(D$18=Data!E$3,H30,IF(D$18=Data!E$4,K30,H30+K30))</f>
        <v>9.1931474735149135E-2</v>
      </c>
      <c r="N30" s="108"/>
      <c r="O30" s="69">
        <f t="shared" si="6"/>
        <v>99.499999999999972</v>
      </c>
      <c r="P30" s="72">
        <v>27</v>
      </c>
      <c r="Q30" s="69">
        <f t="shared" si="7"/>
        <v>64</v>
      </c>
    </row>
    <row r="31" spans="1:17">
      <c r="A31" s="72">
        <f>IF(AND(ROUND(A30,3)&lt;E$7+E$15,A30&gt;=A$26),A30+E$15,0)</f>
        <v>99.599999999999966</v>
      </c>
      <c r="B31" s="69">
        <f>IF(D$20=Data!F$4,"",IF(A31=0,0,+B30+E$15*E$4*2))</f>
        <v>42.600000000000009</v>
      </c>
      <c r="C31" s="69">
        <f>IF(D$20=Data!F$4,"",IF(A31=0,0,+C30+E$15*E$4*2))</f>
        <v>12.599999999999998</v>
      </c>
      <c r="D31" s="112">
        <f>IF(D$20=Data!F$4,'Step 4 Stage Discharge'!P31,IF(A31&gt;=E$7-E$8,C30*B30*E$15+E$4*E$15^2*(B30+C30)+1/3*(2*E$15*E$4)^2*E$15,0))</f>
        <v>52.032000000000004</v>
      </c>
      <c r="E31" s="112">
        <f t="shared" si="5"/>
        <v>228.48000000000002</v>
      </c>
      <c r="F31" s="113">
        <f t="shared" si="0"/>
        <v>0.5</v>
      </c>
      <c r="G31" s="113">
        <f t="shared" si="1"/>
        <v>0.46499999999999431</v>
      </c>
      <c r="H31" s="172">
        <f t="shared" si="2"/>
        <v>0.10376341849975068</v>
      </c>
      <c r="I31" s="172">
        <f t="shared" si="3"/>
        <v>0</v>
      </c>
      <c r="J31" s="172"/>
      <c r="K31" s="172">
        <f t="shared" si="4"/>
        <v>0</v>
      </c>
      <c r="L31" s="172"/>
      <c r="M31" s="107">
        <f>IF(D$18=Data!E$3,H31,IF(D$18=Data!E$4,K31,H31+K31))</f>
        <v>0.10376341849975068</v>
      </c>
      <c r="N31" s="108"/>
      <c r="O31" s="69">
        <f t="shared" si="6"/>
        <v>99.599999999999966</v>
      </c>
      <c r="P31" s="72">
        <v>35</v>
      </c>
      <c r="Q31" s="69">
        <f t="shared" si="7"/>
        <v>99</v>
      </c>
    </row>
    <row r="32" spans="1:17">
      <c r="A32" s="72">
        <f>IF(AND(ROUND(A31,3)&lt;E$7+E$15,A31&gt;=A$26),A31+E$15,0)</f>
        <v>99.69999999999996</v>
      </c>
      <c r="B32" s="69">
        <f>IF(D$20=Data!F$4,"",IF(A32=0,0,+B31+E$15*E$4*2))</f>
        <v>43.20000000000001</v>
      </c>
      <c r="C32" s="69">
        <f>IF(D$20=Data!F$4,"",IF(A32=0,0,+C31+E$15*E$4*2))</f>
        <v>13.199999999999998</v>
      </c>
      <c r="D32" s="112">
        <f>IF(D$20=Data!F$4,'Step 4 Stage Discharge'!P32,IF(A32&gt;=E$7-E$8,C31*B31*E$15+E$4*E$15^2*(B31+C31)+1/3*(2*E$15*E$4)^2*E$15,0))</f>
        <v>55.344000000000001</v>
      </c>
      <c r="E32" s="112">
        <f t="shared" si="5"/>
        <v>283.82400000000001</v>
      </c>
      <c r="F32" s="113">
        <f t="shared" si="0"/>
        <v>0.6</v>
      </c>
      <c r="G32" s="113">
        <f t="shared" si="1"/>
        <v>0.56499999999998862</v>
      </c>
      <c r="H32" s="172">
        <f t="shared" si="2"/>
        <v>0.11437787369298941</v>
      </c>
      <c r="I32" s="172">
        <f t="shared" si="3"/>
        <v>0</v>
      </c>
      <c r="J32" s="172"/>
      <c r="K32" s="172">
        <f t="shared" si="4"/>
        <v>0</v>
      </c>
      <c r="L32" s="172"/>
      <c r="M32" s="107">
        <f>IF(D$18=Data!E$3,H32,IF(D$18=Data!E$4,K32,H32+K32))</f>
        <v>0.11437787369298941</v>
      </c>
      <c r="N32" s="108"/>
      <c r="O32" s="69">
        <f t="shared" si="6"/>
        <v>99.69999999999996</v>
      </c>
      <c r="P32" s="72">
        <v>40</v>
      </c>
      <c r="Q32" s="69">
        <f t="shared" si="7"/>
        <v>139</v>
      </c>
    </row>
    <row r="33" spans="1:17">
      <c r="A33" s="72">
        <f>IF(AND(ROUND(A32,3)&lt;E$7+E$15,A32&gt;=A$26),A32+E$15,0)</f>
        <v>99.799999999999955</v>
      </c>
      <c r="B33" s="69">
        <f>IF(D$20=Data!F$4,"",IF(A33=0,0,+B32+E$15*E$4*2))</f>
        <v>43.800000000000011</v>
      </c>
      <c r="C33" s="69">
        <f>IF(D$20=Data!F$4,"",IF(A33=0,0,+C32+E$15*E$4*2))</f>
        <v>13.799999999999997</v>
      </c>
      <c r="D33" s="112">
        <f>IF(D$20=Data!F$4,'Step 4 Stage Discharge'!P33,IF(A33&gt;=E$7-E$8,C32*B32*E$15+E$4*E$15^2*(B32+C32)+1/3*(2*E$15*E$4)^2*E$15,0))</f>
        <v>58.728000000000002</v>
      </c>
      <c r="E33" s="112">
        <f t="shared" si="5"/>
        <v>342.55200000000002</v>
      </c>
      <c r="F33" s="113">
        <f t="shared" si="0"/>
        <v>0.7</v>
      </c>
      <c r="G33" s="113">
        <f t="shared" si="1"/>
        <v>0.66499999999999715</v>
      </c>
      <c r="H33" s="172">
        <f t="shared" si="2"/>
        <v>0.12408766643911394</v>
      </c>
      <c r="I33" s="172">
        <f t="shared" si="3"/>
        <v>0</v>
      </c>
      <c r="J33" s="172"/>
      <c r="K33" s="172">
        <f t="shared" si="4"/>
        <v>0</v>
      </c>
      <c r="L33" s="172"/>
      <c r="M33" s="107">
        <f>IF(D$18=Data!E$3,H33,IF(D$18=Data!E$4,K33,H33+K33))</f>
        <v>0.12408766643911394</v>
      </c>
      <c r="O33" s="69">
        <f t="shared" si="6"/>
        <v>99.799999999999955</v>
      </c>
      <c r="P33" s="72">
        <v>50</v>
      </c>
      <c r="Q33" s="69">
        <f t="shared" si="7"/>
        <v>189</v>
      </c>
    </row>
    <row r="34" spans="1:17">
      <c r="A34" s="72">
        <f t="shared" ref="A34:A65" si="8">IF(AND(ROUND(A33,3)&lt;E$7,A33&gt;=A$26),A33+E$15,0)</f>
        <v>99.899999999999949</v>
      </c>
      <c r="B34" s="69">
        <f>IF(D$20=Data!F$4,"",IF(A34=0,0,+B33+E$15*E$4*2))</f>
        <v>44.400000000000013</v>
      </c>
      <c r="C34" s="69">
        <f>IF(D$20=Data!F$4,"",IF(A34=0,0,+C33+E$15*E$4*2))</f>
        <v>14.399999999999997</v>
      </c>
      <c r="D34" s="112">
        <f>IF(D$20=Data!F$4,'Step 4 Stage Discharge'!P34,IF(A34&gt;=E$7-E$8,C33*B33*E$15+E$4*E$15^2*(B33+C33)+1/3*(2*E$15*E$4)^2*E$15,0))</f>
        <v>62.184000000000012</v>
      </c>
      <c r="E34" s="112">
        <f t="shared" si="5"/>
        <v>404.73600000000005</v>
      </c>
      <c r="F34" s="113">
        <f t="shared" si="0"/>
        <v>0.8</v>
      </c>
      <c r="G34" s="113">
        <f t="shared" si="1"/>
        <v>0.76499999999999146</v>
      </c>
      <c r="H34" s="172">
        <f t="shared" si="2"/>
        <v>0.13309094610107722</v>
      </c>
      <c r="I34" s="172">
        <f t="shared" si="3"/>
        <v>9.9999999999951683E-2</v>
      </c>
      <c r="J34" s="172"/>
      <c r="K34" s="172">
        <f t="shared" si="4"/>
        <v>3.3747827189293034E-2</v>
      </c>
      <c r="L34" s="172"/>
      <c r="M34" s="107">
        <f>IF(D$18=Data!E$3,H34,IF(D$18=Data!E$4,K34,H34+K34))</f>
        <v>0.13309094610107722</v>
      </c>
      <c r="N34" s="73"/>
      <c r="O34" s="69">
        <f t="shared" si="6"/>
        <v>99.899999999999949</v>
      </c>
      <c r="P34" s="72">
        <v>60</v>
      </c>
      <c r="Q34" s="69">
        <f t="shared" si="7"/>
        <v>249</v>
      </c>
    </row>
    <row r="35" spans="1:17">
      <c r="A35" s="72">
        <f t="shared" si="8"/>
        <v>99.999999999999943</v>
      </c>
      <c r="B35" s="69">
        <f>IF(D$20=Data!F$4,"",IF(A35=0,0,+B34+E$15*E$4*2))</f>
        <v>45.000000000000014</v>
      </c>
      <c r="C35" s="69">
        <f>IF(D$20=Data!F$4,"",IF(A35=0,0,+C34+E$15*E$4*2))</f>
        <v>14.999999999999996</v>
      </c>
      <c r="D35" s="112">
        <f>IF(D$20=Data!F$4,'Step 4 Stage Discharge'!P35,IF(A35&gt;=E$7-E$8,C34*B34*E$15+E$4*E$15^2*(B34+C34)+1/3*(2*E$15*E$4)^2*E$15,0))</f>
        <v>65.712000000000003</v>
      </c>
      <c r="E35" s="112">
        <f t="shared" si="5"/>
        <v>470.44800000000004</v>
      </c>
      <c r="F35" s="113">
        <f t="shared" si="0"/>
        <v>0.9</v>
      </c>
      <c r="G35" s="113">
        <f t="shared" si="1"/>
        <v>0.86499999999999999</v>
      </c>
      <c r="H35" s="172">
        <f t="shared" si="2"/>
        <v>0.14152261623449167</v>
      </c>
      <c r="I35" s="172">
        <f t="shared" si="3"/>
        <v>0.199999999999946</v>
      </c>
      <c r="J35" s="172"/>
      <c r="K35" s="172">
        <f t="shared" si="4"/>
        <v>9.2161777760595809E-2</v>
      </c>
      <c r="L35" s="172"/>
      <c r="M35" s="107">
        <f>IF(D$18=Data!E$3,H35,IF(D$18=Data!E$4,K35,H35+K35))</f>
        <v>0.14152261623449167</v>
      </c>
      <c r="N35" s="104"/>
      <c r="O35" s="69">
        <f t="shared" si="6"/>
        <v>99.999999999999943</v>
      </c>
      <c r="P35" s="72">
        <v>70</v>
      </c>
      <c r="Q35" s="69">
        <f t="shared" si="7"/>
        <v>319</v>
      </c>
    </row>
    <row r="36" spans="1:17">
      <c r="A36" s="72">
        <f t="shared" si="8"/>
        <v>0</v>
      </c>
      <c r="B36" s="69">
        <f>IF(D$20=Data!F$4,"",IF(A36=0,0,+B35+E$15*E$4*2))</f>
        <v>0</v>
      </c>
      <c r="C36" s="69">
        <f>IF(D$20=Data!F$4,"",IF(A36=0,0,+C35+E$15*E$4*2))</f>
        <v>0</v>
      </c>
      <c r="D36" s="112">
        <f>IF(D$20=Data!F$4,'Step 4 Stage Discharge'!P36,IF(A36&gt;=E$7-E$8,C35*B35*E$15+E$4*E$15^2*(B35+C35)+1/3*(2*E$15*E$4)^2*E$15,0))</f>
        <v>0</v>
      </c>
      <c r="E36" s="112">
        <f t="shared" si="5"/>
        <v>470.44800000000004</v>
      </c>
      <c r="F36" s="113">
        <f t="shared" si="0"/>
        <v>0.9</v>
      </c>
      <c r="G36" s="113">
        <f t="shared" si="1"/>
        <v>0.86499999999999999</v>
      </c>
      <c r="H36" s="172">
        <f t="shared" si="2"/>
        <v>0.14152261623449167</v>
      </c>
      <c r="I36" s="172">
        <f t="shared" si="3"/>
        <v>0.20000000000000284</v>
      </c>
      <c r="J36" s="172"/>
      <c r="K36" s="172">
        <f t="shared" si="4"/>
        <v>9.2161777760633223E-2</v>
      </c>
      <c r="L36" s="172"/>
      <c r="M36" s="107">
        <f>IF(D$18=Data!E$3,H36,IF(D$18=Data!E$4,K36,H36+K36))</f>
        <v>0.14152261623449167</v>
      </c>
      <c r="N36" s="73"/>
      <c r="O36" s="69">
        <f t="shared" si="6"/>
        <v>0</v>
      </c>
      <c r="P36" s="72"/>
      <c r="Q36" s="69">
        <f t="shared" si="7"/>
        <v>319</v>
      </c>
    </row>
    <row r="37" spans="1:17">
      <c r="A37" s="72">
        <f t="shared" si="8"/>
        <v>0</v>
      </c>
      <c r="B37" s="69">
        <f>IF(D$20=Data!F$4,"",IF(A37=0,0,+B36+E$15*E$4*2))</f>
        <v>0</v>
      </c>
      <c r="C37" s="69">
        <f>IF(D$20=Data!F$4,"",IF(A37=0,0,+C36+E$15*E$4*2))</f>
        <v>0</v>
      </c>
      <c r="D37" s="112">
        <f>IF(D$20=Data!F$4,'Step 4 Stage Discharge'!P37,IF(A37&gt;=E$7-E$8,C36*B36*E$15+E$4*E$15^2*(B36+C36)+1/3*(2*E$15*E$4)^2*E$15,0))</f>
        <v>0</v>
      </c>
      <c r="E37" s="112">
        <f t="shared" si="5"/>
        <v>470.44800000000004</v>
      </c>
      <c r="F37" s="113">
        <f t="shared" si="0"/>
        <v>0.9</v>
      </c>
      <c r="G37" s="113">
        <f t="shared" si="1"/>
        <v>0.86499999999999999</v>
      </c>
      <c r="H37" s="172">
        <f t="shared" si="2"/>
        <v>0.14152261623449167</v>
      </c>
      <c r="I37" s="172">
        <f t="shared" si="3"/>
        <v>0.20000000000000284</v>
      </c>
      <c r="J37" s="172"/>
      <c r="K37" s="172">
        <f t="shared" si="4"/>
        <v>9.2161777760633223E-2</v>
      </c>
      <c r="L37" s="172"/>
      <c r="M37" s="107">
        <f>IF(D$18=Data!E$3,H37,IF(D$18=Data!E$4,K37,H37+K37))</f>
        <v>0.14152261623449167</v>
      </c>
      <c r="N37" s="114"/>
      <c r="O37" s="69">
        <f t="shared" si="6"/>
        <v>0</v>
      </c>
      <c r="P37" s="72"/>
      <c r="Q37" s="69">
        <f t="shared" si="7"/>
        <v>319</v>
      </c>
    </row>
    <row r="38" spans="1:17">
      <c r="A38" s="72">
        <f t="shared" si="8"/>
        <v>0</v>
      </c>
      <c r="B38" s="69">
        <f>IF(D$20=Data!F$4,"",IF(A38=0,0,+B37+E$15*E$4*2))</f>
        <v>0</v>
      </c>
      <c r="C38" s="69">
        <f>IF(D$20=Data!F$4,"",IF(A38=0,0,+C37+E$15*E$4*2))</f>
        <v>0</v>
      </c>
      <c r="D38" s="112">
        <f>IF(D$20=Data!F$4,'Step 4 Stage Discharge'!P38,IF(A38&gt;=E$7-E$8,C37*B37*E$15+E$4*E$15^2*(B37+C37)+1/3*(2*E$15*E$4)^2*E$15,0))</f>
        <v>0</v>
      </c>
      <c r="E38" s="112">
        <f t="shared" si="5"/>
        <v>470.44800000000004</v>
      </c>
      <c r="F38" s="113">
        <f t="shared" si="0"/>
        <v>0.9</v>
      </c>
      <c r="G38" s="113">
        <f t="shared" si="1"/>
        <v>0.86499999999999999</v>
      </c>
      <c r="H38" s="172">
        <f t="shared" si="2"/>
        <v>0.14152261623449167</v>
      </c>
      <c r="I38" s="172">
        <f t="shared" si="3"/>
        <v>0.20000000000000284</v>
      </c>
      <c r="J38" s="172"/>
      <c r="K38" s="172">
        <f t="shared" si="4"/>
        <v>9.2161777760633223E-2</v>
      </c>
      <c r="L38" s="172"/>
      <c r="M38" s="107">
        <f>IF(D$18=Data!E$3,H38,IF(D$18=Data!E$4,K38,H38+K38))</f>
        <v>0.14152261623449167</v>
      </c>
      <c r="O38" s="69">
        <f t="shared" si="6"/>
        <v>0</v>
      </c>
      <c r="P38" s="72"/>
      <c r="Q38" s="69">
        <f t="shared" si="7"/>
        <v>319</v>
      </c>
    </row>
    <row r="39" spans="1:17">
      <c r="A39" s="72">
        <f t="shared" si="8"/>
        <v>0</v>
      </c>
      <c r="B39" s="69">
        <f>IF(D$20=Data!F$4,"",IF(A39=0,0,+B38+E$15*E$4*2))</f>
        <v>0</v>
      </c>
      <c r="C39" s="69">
        <f>IF(D$20=Data!F$4,"",IF(A39=0,0,+C38+E$15*E$4*2))</f>
        <v>0</v>
      </c>
      <c r="D39" s="112">
        <f>IF(D$20=Data!F$4,'Step 4 Stage Discharge'!P39,IF(A39&gt;=E$7-E$8,C38*B38*E$15+E$4*E$15^2*(B38+C38)+1/3*(2*E$15*E$4)^2*E$15,0))</f>
        <v>0</v>
      </c>
      <c r="E39" s="112">
        <f t="shared" si="5"/>
        <v>470.44800000000004</v>
      </c>
      <c r="F39" s="113">
        <f t="shared" si="0"/>
        <v>0.9</v>
      </c>
      <c r="G39" s="113">
        <f t="shared" si="1"/>
        <v>0.86499999999999999</v>
      </c>
      <c r="H39" s="172">
        <f t="shared" si="2"/>
        <v>0.14152261623449167</v>
      </c>
      <c r="I39" s="172">
        <f t="shared" si="3"/>
        <v>0.20000000000000284</v>
      </c>
      <c r="J39" s="172"/>
      <c r="K39" s="172">
        <f t="shared" si="4"/>
        <v>9.2161777760633223E-2</v>
      </c>
      <c r="L39" s="172"/>
      <c r="M39" s="107">
        <f>IF(D$18=Data!E$3,H39,IF(D$18=Data!E$4,K39,H39+K39))</f>
        <v>0.14152261623449167</v>
      </c>
      <c r="O39" s="69">
        <f t="shared" si="6"/>
        <v>0</v>
      </c>
      <c r="P39" s="72"/>
      <c r="Q39" s="69">
        <f t="shared" si="7"/>
        <v>319</v>
      </c>
    </row>
    <row r="40" spans="1:17">
      <c r="A40" s="72">
        <f t="shared" si="8"/>
        <v>0</v>
      </c>
      <c r="B40" s="69">
        <f>IF(D$20=Data!F$4,"",IF(A40=0,0,+B39+E$15*E$4*2))</f>
        <v>0</v>
      </c>
      <c r="C40" s="69">
        <f>IF(D$20=Data!F$4,"",IF(A40=0,0,+C39+E$15*E$4*2))</f>
        <v>0</v>
      </c>
      <c r="D40" s="112">
        <f>IF(D$20=Data!F$4,'Step 4 Stage Discharge'!P40,IF(A40&gt;=E$7-E$8,C39*B39*E$15+E$4*E$15^2*(B39+C39)+1/3*(2*E$15*E$4)^2*E$15,0))</f>
        <v>0</v>
      </c>
      <c r="E40" s="112">
        <f t="shared" si="5"/>
        <v>470.44800000000004</v>
      </c>
      <c r="F40" s="113">
        <f t="shared" si="0"/>
        <v>0.9</v>
      </c>
      <c r="G40" s="113">
        <f t="shared" si="1"/>
        <v>0.86499999999999999</v>
      </c>
      <c r="H40" s="172">
        <f t="shared" si="2"/>
        <v>0.14152261623449167</v>
      </c>
      <c r="I40" s="172">
        <f t="shared" si="3"/>
        <v>0.20000000000000284</v>
      </c>
      <c r="J40" s="172"/>
      <c r="K40" s="172">
        <f t="shared" si="4"/>
        <v>9.2161777760633223E-2</v>
      </c>
      <c r="L40" s="172"/>
      <c r="M40" s="107">
        <f>IF(D$18=Data!E$3,H40,IF(D$18=Data!E$4,K40,H40+K40))</f>
        <v>0.14152261623449167</v>
      </c>
      <c r="O40" s="69">
        <f t="shared" si="6"/>
        <v>0</v>
      </c>
      <c r="P40" s="72"/>
      <c r="Q40" s="69">
        <f t="shared" si="7"/>
        <v>319</v>
      </c>
    </row>
    <row r="41" spans="1:17">
      <c r="A41" s="72">
        <f t="shared" si="8"/>
        <v>0</v>
      </c>
      <c r="B41" s="69">
        <f>IF(D$20=Data!F$4,"",IF(A41=0,0,+B40+E$15*E$4*2))</f>
        <v>0</v>
      </c>
      <c r="C41" s="69">
        <f>IF(D$20=Data!F$4,"",IF(A41=0,0,+C40+E$15*E$4*2))</f>
        <v>0</v>
      </c>
      <c r="D41" s="112">
        <f>IF(D$20=Data!F$4,'Step 4 Stage Discharge'!P41,IF(A41&gt;=E$7-E$8,C40*B40*E$15+E$4*E$15^2*(B40+C40)+1/3*(2*E$15*E$4)^2*E$15,0))</f>
        <v>0</v>
      </c>
      <c r="E41" s="112">
        <f t="shared" si="5"/>
        <v>470.44800000000004</v>
      </c>
      <c r="F41" s="113">
        <f t="shared" si="0"/>
        <v>0.9</v>
      </c>
      <c r="G41" s="113">
        <f t="shared" si="1"/>
        <v>0.86499999999999999</v>
      </c>
      <c r="H41" s="172">
        <f t="shared" si="2"/>
        <v>0.14152261623449167</v>
      </c>
      <c r="I41" s="172">
        <f t="shared" si="3"/>
        <v>0.20000000000000284</v>
      </c>
      <c r="J41" s="172"/>
      <c r="K41" s="172">
        <f t="shared" si="4"/>
        <v>9.2161777760633223E-2</v>
      </c>
      <c r="L41" s="172"/>
      <c r="M41" s="107">
        <f>IF(D$18=Data!E$3,H41,IF(D$18=Data!E$4,K41,H41+K41))</f>
        <v>0.14152261623449167</v>
      </c>
      <c r="O41" s="69">
        <f t="shared" si="6"/>
        <v>0</v>
      </c>
      <c r="P41" s="72"/>
      <c r="Q41" s="69">
        <f t="shared" si="7"/>
        <v>319</v>
      </c>
    </row>
    <row r="42" spans="1:17">
      <c r="A42" s="72">
        <f t="shared" si="8"/>
        <v>0</v>
      </c>
      <c r="B42" s="69">
        <f>IF(D$20=Data!F$4,"",IF(A42=0,0,+B41+E$15*E$4*2))</f>
        <v>0</v>
      </c>
      <c r="C42" s="69">
        <f>IF(D$20=Data!F$4,"",IF(A42=0,0,+C41+E$15*E$4*2))</f>
        <v>0</v>
      </c>
      <c r="D42" s="112">
        <f>IF(D$20=Data!F$4,'Step 4 Stage Discharge'!P42,IF(A42&gt;=E$7-E$8,C41*B41*E$15+E$4*E$15^2*(B41+C41)+1/3*(2*E$15*E$4)^2*E$15,0))</f>
        <v>0</v>
      </c>
      <c r="E42" s="112">
        <f t="shared" si="5"/>
        <v>470.44800000000004</v>
      </c>
      <c r="F42" s="113">
        <f t="shared" si="0"/>
        <v>0.9</v>
      </c>
      <c r="G42" s="113">
        <f t="shared" si="1"/>
        <v>0.86499999999999999</v>
      </c>
      <c r="H42" s="172">
        <f t="shared" si="2"/>
        <v>0.14152261623449167</v>
      </c>
      <c r="I42" s="172">
        <f t="shared" si="3"/>
        <v>0.20000000000000284</v>
      </c>
      <c r="J42" s="172"/>
      <c r="K42" s="172">
        <f t="shared" si="4"/>
        <v>9.2161777760633223E-2</v>
      </c>
      <c r="L42" s="172"/>
      <c r="M42" s="107">
        <f>IF(D$18=Data!E$3,H42,IF(D$18=Data!E$4,K42,H42+K42))</f>
        <v>0.14152261623449167</v>
      </c>
      <c r="O42" s="69">
        <f t="shared" si="6"/>
        <v>0</v>
      </c>
      <c r="P42" s="72"/>
      <c r="Q42" s="69">
        <f t="shared" si="7"/>
        <v>319</v>
      </c>
    </row>
    <row r="43" spans="1:17">
      <c r="A43" s="72">
        <f t="shared" si="8"/>
        <v>0</v>
      </c>
      <c r="B43" s="69">
        <f>IF(D$20=Data!F$4,"",IF(A43=0,0,+B42+E$15*E$4*2))</f>
        <v>0</v>
      </c>
      <c r="C43" s="69">
        <f>IF(D$20=Data!F$4,"",IF(A43=0,0,+C42+E$15*E$4*2))</f>
        <v>0</v>
      </c>
      <c r="D43" s="112">
        <f>IF(D$20=Data!F$4,'Step 4 Stage Discharge'!P43,IF(A43&gt;=E$7-E$8,C42*B42*E$15+E$4*E$15^2*(B42+C42)+1/3*(2*E$15*E$4)^2*E$15,0))</f>
        <v>0</v>
      </c>
      <c r="E43" s="112">
        <f t="shared" si="5"/>
        <v>470.44800000000004</v>
      </c>
      <c r="F43" s="113">
        <f t="shared" si="0"/>
        <v>0.9</v>
      </c>
      <c r="G43" s="113">
        <f t="shared" si="1"/>
        <v>0.86499999999999999</v>
      </c>
      <c r="H43" s="172">
        <f t="shared" si="2"/>
        <v>0.14152261623449167</v>
      </c>
      <c r="I43" s="172">
        <f t="shared" si="3"/>
        <v>0.20000000000000284</v>
      </c>
      <c r="J43" s="172"/>
      <c r="K43" s="172">
        <f t="shared" si="4"/>
        <v>9.2161777760633223E-2</v>
      </c>
      <c r="L43" s="172"/>
      <c r="M43" s="107">
        <f>IF(D$18=Data!E$3,H43,IF(D$18=Data!E$4,K43,H43+K43))</f>
        <v>0.14152261623449167</v>
      </c>
      <c r="O43" s="69">
        <f t="shared" si="6"/>
        <v>0</v>
      </c>
      <c r="P43" s="72"/>
      <c r="Q43" s="69">
        <f t="shared" si="7"/>
        <v>319</v>
      </c>
    </row>
    <row r="44" spans="1:17">
      <c r="A44" s="72">
        <f t="shared" si="8"/>
        <v>0</v>
      </c>
      <c r="B44" s="69">
        <f>IF(D$20=Data!F$4,"",IF(A44=0,0,+B43+E$15*E$4*2))</f>
        <v>0</v>
      </c>
      <c r="C44" s="69">
        <f>IF(D$20=Data!F$4,"",IF(A44=0,0,+C43+E$15*E$4*2))</f>
        <v>0</v>
      </c>
      <c r="D44" s="112">
        <f>IF(D$20=Data!F$4,'Step 4 Stage Discharge'!P44,IF(A44&gt;=E$7-E$8,C43*B43*E$15+E$4*E$15^2*(B43+C43)+1/3*(2*E$15*E$4)^2*E$15,0))</f>
        <v>0</v>
      </c>
      <c r="E44" s="112">
        <f t="shared" si="5"/>
        <v>470.44800000000004</v>
      </c>
      <c r="F44" s="113">
        <f t="shared" si="0"/>
        <v>0.9</v>
      </c>
      <c r="G44" s="113">
        <f t="shared" si="1"/>
        <v>0.86499999999999999</v>
      </c>
      <c r="H44" s="172">
        <f t="shared" si="2"/>
        <v>0.14152261623449167</v>
      </c>
      <c r="I44" s="172">
        <f t="shared" si="3"/>
        <v>0.20000000000000284</v>
      </c>
      <c r="J44" s="172"/>
      <c r="K44" s="172">
        <f t="shared" si="4"/>
        <v>9.2161777760633223E-2</v>
      </c>
      <c r="L44" s="172"/>
      <c r="M44" s="107">
        <f>IF(D$18=Data!E$3,H44,IF(D$18=Data!E$4,K44,H44+K44))</f>
        <v>0.14152261623449167</v>
      </c>
      <c r="O44" s="69">
        <f t="shared" si="6"/>
        <v>0</v>
      </c>
      <c r="P44" s="72"/>
      <c r="Q44" s="69">
        <f t="shared" si="7"/>
        <v>319</v>
      </c>
    </row>
    <row r="45" spans="1:17">
      <c r="A45" s="72">
        <f t="shared" si="8"/>
        <v>0</v>
      </c>
      <c r="B45" s="69">
        <f>IF(D$20=Data!F$4,"",IF(A45=0,0,+B44+E$15*E$4*2))</f>
        <v>0</v>
      </c>
      <c r="C45" s="69">
        <f>IF(D$20=Data!F$4,"",IF(A45=0,0,+C44+E$15*E$4*2))</f>
        <v>0</v>
      </c>
      <c r="D45" s="112">
        <f>IF(D$20=Data!F$4,'Step 4 Stage Discharge'!P45,IF(A45&gt;=E$7-E$8,C44*B44*E$15+E$4*E$15^2*(B44+C44)+1/3*(2*E$15*E$4)^2*E$15,0))</f>
        <v>0</v>
      </c>
      <c r="E45" s="112">
        <f t="shared" si="5"/>
        <v>470.44800000000004</v>
      </c>
      <c r="F45" s="113">
        <f t="shared" si="0"/>
        <v>0.9</v>
      </c>
      <c r="G45" s="113">
        <f t="shared" si="1"/>
        <v>0.86499999999999999</v>
      </c>
      <c r="H45" s="172">
        <f t="shared" si="2"/>
        <v>0.14152261623449167</v>
      </c>
      <c r="I45" s="172">
        <f t="shared" si="3"/>
        <v>0.20000000000000284</v>
      </c>
      <c r="J45" s="172"/>
      <c r="K45" s="172">
        <f t="shared" si="4"/>
        <v>9.2161777760633223E-2</v>
      </c>
      <c r="L45" s="172"/>
      <c r="M45" s="107">
        <f>IF(D$18=Data!E$3,H45,IF(D$18=Data!E$4,K45,H45+K45))</f>
        <v>0.14152261623449167</v>
      </c>
      <c r="O45" s="69">
        <f t="shared" si="6"/>
        <v>0</v>
      </c>
      <c r="P45" s="72"/>
      <c r="Q45" s="69">
        <f t="shared" si="7"/>
        <v>319</v>
      </c>
    </row>
    <row r="46" spans="1:17">
      <c r="A46" s="72">
        <f t="shared" si="8"/>
        <v>0</v>
      </c>
      <c r="B46" s="69">
        <f>IF(D$20=Data!F$4,"",IF(A46=0,0,+B45+E$15*E$4*2))</f>
        <v>0</v>
      </c>
      <c r="C46" s="69">
        <f>IF(D$20=Data!F$4,"",IF(A46=0,0,+C45+E$15*E$4*2))</f>
        <v>0</v>
      </c>
      <c r="D46" s="112">
        <f>IF(D$20=Data!F$4,'Step 4 Stage Discharge'!P46,IF(A46&gt;=E$7-E$8,C45*B45*E$15+E$4*E$15^2*(B45+C45)+1/3*(2*E$15*E$4)^2*E$15,0))</f>
        <v>0</v>
      </c>
      <c r="E46" s="112">
        <f t="shared" si="5"/>
        <v>470.44800000000004</v>
      </c>
      <c r="F46" s="113">
        <f t="shared" si="0"/>
        <v>0.9</v>
      </c>
      <c r="G46" s="113">
        <f t="shared" si="1"/>
        <v>0.86499999999999999</v>
      </c>
      <c r="H46" s="172">
        <f t="shared" si="2"/>
        <v>0.14152261623449167</v>
      </c>
      <c r="I46" s="172">
        <f t="shared" si="3"/>
        <v>0.20000000000000284</v>
      </c>
      <c r="J46" s="172"/>
      <c r="K46" s="172">
        <f t="shared" si="4"/>
        <v>9.2161777760633223E-2</v>
      </c>
      <c r="L46" s="172"/>
      <c r="M46" s="107">
        <f>IF(D$18=Data!E$3,H46,IF(D$18=Data!E$4,K46,H46+K46))</f>
        <v>0.14152261623449167</v>
      </c>
      <c r="O46" s="69">
        <f t="shared" si="6"/>
        <v>0</v>
      </c>
      <c r="P46" s="72"/>
      <c r="Q46" s="69">
        <f t="shared" si="7"/>
        <v>319</v>
      </c>
    </row>
    <row r="47" spans="1:17">
      <c r="A47" s="72">
        <f t="shared" si="8"/>
        <v>0</v>
      </c>
      <c r="B47" s="69">
        <f>IF(D$20=Data!F$4,"",IF(A47=0,0,+B46+E$15*E$4*2))</f>
        <v>0</v>
      </c>
      <c r="C47" s="69">
        <f>IF(D$20=Data!F$4,"",IF(A47=0,0,+C46+E$15*E$4*2))</f>
        <v>0</v>
      </c>
      <c r="D47" s="112">
        <f>IF(D$20=Data!F$4,'Step 4 Stage Discharge'!P47,IF(A47&gt;=E$7-E$8,C46*B46*E$15+E$4*E$15^2*(B46+C46)+1/3*(2*E$15*E$4)^2*E$15,0))</f>
        <v>0</v>
      </c>
      <c r="E47" s="112">
        <f t="shared" si="5"/>
        <v>470.44800000000004</v>
      </c>
      <c r="F47" s="113">
        <f t="shared" si="0"/>
        <v>0.9</v>
      </c>
      <c r="G47" s="113">
        <f t="shared" si="1"/>
        <v>0.86499999999999999</v>
      </c>
      <c r="H47" s="172">
        <f t="shared" si="2"/>
        <v>0.14152261623449167</v>
      </c>
      <c r="I47" s="172">
        <f t="shared" si="3"/>
        <v>0.20000000000000284</v>
      </c>
      <c r="J47" s="172"/>
      <c r="K47" s="172">
        <f t="shared" si="4"/>
        <v>9.2161777760633223E-2</v>
      </c>
      <c r="L47" s="172"/>
      <c r="M47" s="107">
        <f>IF(D$18=Data!E$3,H47,IF(D$18=Data!E$4,K47,H47+K47))</f>
        <v>0.14152261623449167</v>
      </c>
      <c r="O47" s="69">
        <f t="shared" si="6"/>
        <v>0</v>
      </c>
      <c r="P47" s="72"/>
      <c r="Q47" s="69">
        <f t="shared" si="7"/>
        <v>319</v>
      </c>
    </row>
    <row r="48" spans="1:17">
      <c r="A48" s="72">
        <f t="shared" si="8"/>
        <v>0</v>
      </c>
      <c r="B48" s="69">
        <f>IF(D$20=Data!F$4,"",IF(A48=0,0,+B47+E$15*E$4*2))</f>
        <v>0</v>
      </c>
      <c r="C48" s="69">
        <f>IF(D$20=Data!F$4,"",IF(A48=0,0,+C47+E$15*E$4*2))</f>
        <v>0</v>
      </c>
      <c r="D48" s="112">
        <f>IF(D$20=Data!F$4,'Step 4 Stage Discharge'!P48,IF(A48&gt;=E$7-E$8,C47*B47*E$15+E$4*E$15^2*(B47+C47)+1/3*(2*E$15*E$4)^2*E$15,0))</f>
        <v>0</v>
      </c>
      <c r="E48" s="112">
        <f t="shared" si="5"/>
        <v>470.44800000000004</v>
      </c>
      <c r="F48" s="113">
        <f t="shared" si="0"/>
        <v>0.9</v>
      </c>
      <c r="G48" s="113">
        <f t="shared" si="1"/>
        <v>0.86499999999999999</v>
      </c>
      <c r="H48" s="172">
        <f t="shared" si="2"/>
        <v>0.14152261623449167</v>
      </c>
      <c r="I48" s="172">
        <f t="shared" si="3"/>
        <v>0.20000000000000284</v>
      </c>
      <c r="J48" s="172"/>
      <c r="K48" s="172">
        <f t="shared" si="4"/>
        <v>9.2161777760633223E-2</v>
      </c>
      <c r="L48" s="172"/>
      <c r="M48" s="107">
        <f>IF(D$18=Data!E$3,H48,IF(D$18=Data!E$4,K48,H48+K48))</f>
        <v>0.14152261623449167</v>
      </c>
      <c r="O48" s="69">
        <f t="shared" si="6"/>
        <v>0</v>
      </c>
      <c r="P48" s="72"/>
      <c r="Q48" s="69">
        <f t="shared" si="7"/>
        <v>319</v>
      </c>
    </row>
    <row r="49" spans="1:17">
      <c r="A49" s="72">
        <f t="shared" si="8"/>
        <v>0</v>
      </c>
      <c r="B49" s="69">
        <f>IF(D$20=Data!F$4,"",IF(A49=0,0,+B48+E$15*E$4*2))</f>
        <v>0</v>
      </c>
      <c r="C49" s="69">
        <f>IF(D$20=Data!F$4,"",IF(A49=0,0,+C48+E$15*E$4*2))</f>
        <v>0</v>
      </c>
      <c r="D49" s="112">
        <f>IF(D$20=Data!F$4,'Step 4 Stage Discharge'!P49,IF(A49&gt;=E$7-E$8,C48*B48*E$15+E$4*E$15^2*(B48+C48)+1/3*(2*E$15*E$4)^2*E$15,0))</f>
        <v>0</v>
      </c>
      <c r="E49" s="112">
        <f t="shared" si="5"/>
        <v>470.44800000000004</v>
      </c>
      <c r="F49" s="113">
        <f t="shared" si="0"/>
        <v>0.9</v>
      </c>
      <c r="G49" s="113">
        <f t="shared" si="1"/>
        <v>0.86499999999999999</v>
      </c>
      <c r="H49" s="172">
        <f t="shared" si="2"/>
        <v>0.14152261623449167</v>
      </c>
      <c r="I49" s="172">
        <f t="shared" si="3"/>
        <v>0.20000000000000284</v>
      </c>
      <c r="J49" s="172"/>
      <c r="K49" s="172">
        <f t="shared" si="4"/>
        <v>9.2161777760633223E-2</v>
      </c>
      <c r="L49" s="172"/>
      <c r="M49" s="107">
        <f>IF(D$18=Data!E$3,H49,IF(D$18=Data!E$4,K49,H49+K49))</f>
        <v>0.14152261623449167</v>
      </c>
      <c r="O49" s="69">
        <f t="shared" si="6"/>
        <v>0</v>
      </c>
      <c r="P49" s="72"/>
      <c r="Q49" s="69">
        <f t="shared" si="7"/>
        <v>319</v>
      </c>
    </row>
    <row r="50" spans="1:17">
      <c r="A50" s="72">
        <f t="shared" si="8"/>
        <v>0</v>
      </c>
      <c r="B50" s="69">
        <f>IF(D$20=Data!F$4,"",IF(A50=0,0,+B49+E$15*E$4*2))</f>
        <v>0</v>
      </c>
      <c r="C50" s="69">
        <f>IF(D$20=Data!F$4,"",IF(A50=0,0,+C49+E$15*E$4*2))</f>
        <v>0</v>
      </c>
      <c r="D50" s="112">
        <f>IF(D$20=Data!F$4,'Step 4 Stage Discharge'!P50,IF(A50&gt;=E$7-E$8,C49*B49*E$15+E$4*E$15^2*(B49+C49)+1/3*(2*E$15*E$4)^2*E$15,0))</f>
        <v>0</v>
      </c>
      <c r="E50" s="112">
        <f t="shared" si="5"/>
        <v>470.44800000000004</v>
      </c>
      <c r="F50" s="113">
        <f t="shared" si="0"/>
        <v>0.9</v>
      </c>
      <c r="G50" s="113">
        <f t="shared" si="1"/>
        <v>0.86499999999999999</v>
      </c>
      <c r="H50" s="172">
        <f t="shared" si="2"/>
        <v>0.14152261623449167</v>
      </c>
      <c r="I50" s="172">
        <f t="shared" si="3"/>
        <v>0.20000000000000284</v>
      </c>
      <c r="J50" s="172"/>
      <c r="K50" s="172">
        <f t="shared" si="4"/>
        <v>9.2161777760633223E-2</v>
      </c>
      <c r="L50" s="172"/>
      <c r="M50" s="107">
        <f>IF(D$18=Data!E$3,H50,IF(D$18=Data!E$4,K50,H50+K50))</f>
        <v>0.14152261623449167</v>
      </c>
      <c r="O50" s="69">
        <f t="shared" si="6"/>
        <v>0</v>
      </c>
      <c r="P50" s="72"/>
      <c r="Q50" s="69">
        <f t="shared" si="7"/>
        <v>319</v>
      </c>
    </row>
    <row r="51" spans="1:17">
      <c r="A51" s="72">
        <f t="shared" si="8"/>
        <v>0</v>
      </c>
      <c r="B51" s="69">
        <f>IF(D$20=Data!F$4,"",IF(A51=0,0,+B50+E$15*E$4*2))</f>
        <v>0</v>
      </c>
      <c r="C51" s="69">
        <f>IF(D$20=Data!F$4,"",IF(A51=0,0,+C50+E$15*E$4*2))</f>
        <v>0</v>
      </c>
      <c r="D51" s="112">
        <f>IF(D$20=Data!F$4,'Step 4 Stage Discharge'!P51,IF(A51&gt;=E$7-E$8,C50*B50*E$15+E$4*E$15^2*(B50+C50)+1/3*(2*E$15*E$4)^2*E$15,0))</f>
        <v>0</v>
      </c>
      <c r="E51" s="112">
        <f t="shared" si="5"/>
        <v>470.44800000000004</v>
      </c>
      <c r="F51" s="113">
        <f t="shared" si="0"/>
        <v>0.9</v>
      </c>
      <c r="G51" s="113">
        <f t="shared" si="1"/>
        <v>0.86499999999999999</v>
      </c>
      <c r="H51" s="172">
        <f t="shared" si="2"/>
        <v>0.14152261623449167</v>
      </c>
      <c r="I51" s="172">
        <f t="shared" si="3"/>
        <v>0.20000000000000284</v>
      </c>
      <c r="J51" s="172"/>
      <c r="K51" s="172">
        <f t="shared" si="4"/>
        <v>9.2161777760633223E-2</v>
      </c>
      <c r="L51" s="172"/>
      <c r="M51" s="107">
        <f>IF(D$18=Data!E$3,H51,IF(D$18=Data!E$4,K51,H51+K51))</f>
        <v>0.14152261623449167</v>
      </c>
      <c r="O51" s="69">
        <f t="shared" si="6"/>
        <v>0</v>
      </c>
      <c r="P51" s="72"/>
      <c r="Q51" s="69">
        <f t="shared" si="7"/>
        <v>319</v>
      </c>
    </row>
    <row r="52" spans="1:17">
      <c r="A52" s="72">
        <f t="shared" si="8"/>
        <v>0</v>
      </c>
      <c r="B52" s="69">
        <f>IF(D$20=Data!F$4,"",IF(A52=0,0,+B51+E$15*E$4*2))</f>
        <v>0</v>
      </c>
      <c r="C52" s="69">
        <f>IF(D$20=Data!F$4,"",IF(A52=0,0,+C51+E$15*E$4*2))</f>
        <v>0</v>
      </c>
      <c r="D52" s="112">
        <f>IF(D$20=Data!F$4,'Step 4 Stage Discharge'!P52,IF(A52&gt;=E$7-E$8,C51*B51*E$15+E$4*E$15^2*(B51+C51)+1/3*(2*E$15*E$4)^2*E$15,0))</f>
        <v>0</v>
      </c>
      <c r="E52" s="112">
        <f t="shared" si="5"/>
        <v>470.44800000000004</v>
      </c>
      <c r="F52" s="113">
        <f t="shared" si="0"/>
        <v>0.9</v>
      </c>
      <c r="G52" s="113">
        <f t="shared" si="1"/>
        <v>0.86499999999999999</v>
      </c>
      <c r="H52" s="172">
        <f t="shared" si="2"/>
        <v>0.14152261623449167</v>
      </c>
      <c r="I52" s="172">
        <f t="shared" si="3"/>
        <v>0.20000000000000284</v>
      </c>
      <c r="J52" s="172"/>
      <c r="K52" s="172">
        <f t="shared" si="4"/>
        <v>9.2161777760633223E-2</v>
      </c>
      <c r="L52" s="172"/>
      <c r="M52" s="107">
        <f>IF(D$18=Data!E$3,H52,IF(D$18=Data!E$4,K52,H52+K52))</f>
        <v>0.14152261623449167</v>
      </c>
      <c r="O52" s="69">
        <f t="shared" si="6"/>
        <v>0</v>
      </c>
      <c r="P52" s="72"/>
      <c r="Q52" s="69">
        <f t="shared" si="7"/>
        <v>319</v>
      </c>
    </row>
    <row r="53" spans="1:17">
      <c r="A53" s="72">
        <f t="shared" si="8"/>
        <v>0</v>
      </c>
      <c r="B53" s="69">
        <f>IF(D$20=Data!F$4,"",IF(A53=0,0,+B52+E$15*E$4*2))</f>
        <v>0</v>
      </c>
      <c r="C53" s="69">
        <f>IF(D$20=Data!F$4,"",IF(A53=0,0,+C52+E$15*E$4*2))</f>
        <v>0</v>
      </c>
      <c r="D53" s="112">
        <f>IF(D$20=Data!F$4,'Step 4 Stage Discharge'!P53,IF(A53&gt;=E$7-E$8,C52*B52*E$15+E$4*E$15^2*(B52+C52)+1/3*(2*E$15*E$4)^2*E$15,0))</f>
        <v>0</v>
      </c>
      <c r="E53" s="112">
        <f t="shared" si="5"/>
        <v>470.44800000000004</v>
      </c>
      <c r="F53" s="113">
        <f t="shared" si="0"/>
        <v>0.9</v>
      </c>
      <c r="G53" s="113">
        <f t="shared" si="1"/>
        <v>0.86499999999999999</v>
      </c>
      <c r="H53" s="172">
        <f t="shared" si="2"/>
        <v>0.14152261623449167</v>
      </c>
      <c r="I53" s="172">
        <f t="shared" si="3"/>
        <v>0.20000000000000284</v>
      </c>
      <c r="J53" s="172"/>
      <c r="K53" s="172">
        <f t="shared" si="4"/>
        <v>9.2161777760633223E-2</v>
      </c>
      <c r="L53" s="172"/>
      <c r="M53" s="107">
        <f>IF(D$18=Data!E$3,H53,IF(D$18=Data!E$4,K53,H53+K53))</f>
        <v>0.14152261623449167</v>
      </c>
      <c r="O53" s="69">
        <f t="shared" si="6"/>
        <v>0</v>
      </c>
      <c r="P53" s="72"/>
      <c r="Q53" s="69">
        <f t="shared" si="7"/>
        <v>319</v>
      </c>
    </row>
    <row r="54" spans="1:17">
      <c r="A54" s="72">
        <f t="shared" si="8"/>
        <v>0</v>
      </c>
      <c r="B54" s="69">
        <f>IF(D$20=Data!F$4,"",IF(A54=0,0,+B53+E$15*E$4*2))</f>
        <v>0</v>
      </c>
      <c r="C54" s="69">
        <f>IF(D$20=Data!F$4,"",IF(A54=0,0,+C53+E$15*E$4*2))</f>
        <v>0</v>
      </c>
      <c r="D54" s="112">
        <f>IF(D$20=Data!F$4,'Step 4 Stage Discharge'!P54,IF(A54&gt;=E$7-E$8,C53*B53*E$15+E$4*E$15^2*(B53+C53)+1/3*(2*E$15*E$4)^2*E$15,0))</f>
        <v>0</v>
      </c>
      <c r="E54" s="112">
        <f t="shared" si="5"/>
        <v>470.44800000000004</v>
      </c>
      <c r="F54" s="113">
        <f t="shared" si="0"/>
        <v>0.9</v>
      </c>
      <c r="G54" s="113">
        <f t="shared" si="1"/>
        <v>0.86499999999999999</v>
      </c>
      <c r="H54" s="172">
        <f t="shared" si="2"/>
        <v>0.14152261623449167</v>
      </c>
      <c r="I54" s="172">
        <f t="shared" si="3"/>
        <v>0.20000000000000284</v>
      </c>
      <c r="J54" s="172"/>
      <c r="K54" s="172">
        <f t="shared" si="4"/>
        <v>9.2161777760633223E-2</v>
      </c>
      <c r="L54" s="172"/>
      <c r="M54" s="107">
        <f>IF(D$18=Data!E$3,H54,IF(D$18=Data!E$4,K54,H54+K54))</f>
        <v>0.14152261623449167</v>
      </c>
      <c r="O54" s="69">
        <f t="shared" si="6"/>
        <v>0</v>
      </c>
      <c r="P54" s="72"/>
      <c r="Q54" s="69">
        <f t="shared" si="7"/>
        <v>319</v>
      </c>
    </row>
    <row r="55" spans="1:17">
      <c r="A55" s="72">
        <f t="shared" si="8"/>
        <v>0</v>
      </c>
      <c r="B55" s="69">
        <f>IF(D$20=Data!F$4,"",IF(A55=0,0,+B54+E$15*E$4*2))</f>
        <v>0</v>
      </c>
      <c r="C55" s="69">
        <f>IF(D$20=Data!F$4,"",IF(A55=0,0,+C54+E$15*E$4*2))</f>
        <v>0</v>
      </c>
      <c r="D55" s="112">
        <f>IF(D$20=Data!F$4,'Step 4 Stage Discharge'!P55,IF(A55&gt;=E$7-E$8,C54*B54*E$15+E$4*E$15^2*(B54+C54)+1/3*(2*E$15*E$4)^2*E$15,0))</f>
        <v>0</v>
      </c>
      <c r="E55" s="112">
        <f t="shared" si="5"/>
        <v>470.44800000000004</v>
      </c>
      <c r="F55" s="113">
        <f t="shared" si="0"/>
        <v>0.9</v>
      </c>
      <c r="G55" s="113">
        <f t="shared" si="1"/>
        <v>0.86499999999999999</v>
      </c>
      <c r="H55" s="172">
        <f t="shared" si="2"/>
        <v>0.14152261623449167</v>
      </c>
      <c r="I55" s="172">
        <f t="shared" si="3"/>
        <v>0.20000000000000284</v>
      </c>
      <c r="J55" s="172"/>
      <c r="K55" s="172">
        <f t="shared" si="4"/>
        <v>9.2161777760633223E-2</v>
      </c>
      <c r="L55" s="172"/>
      <c r="M55" s="107">
        <f>IF(D$18=Data!E$3,H55,IF(D$18=Data!E$4,K55,H55+K55))</f>
        <v>0.14152261623449167</v>
      </c>
      <c r="O55" s="69">
        <f t="shared" si="6"/>
        <v>0</v>
      </c>
      <c r="P55" s="72"/>
      <c r="Q55" s="69">
        <f t="shared" si="7"/>
        <v>319</v>
      </c>
    </row>
    <row r="56" spans="1:17">
      <c r="A56" s="72">
        <f t="shared" si="8"/>
        <v>0</v>
      </c>
      <c r="B56" s="69">
        <f>IF(D$20=Data!F$4,"",IF(A56=0,0,+B55+E$15*E$4*2))</f>
        <v>0</v>
      </c>
      <c r="C56" s="69">
        <f>IF(D$20=Data!F$4,"",IF(A56=0,0,+C55+E$15*E$4*2))</f>
        <v>0</v>
      </c>
      <c r="D56" s="112">
        <f>IF(D$20=Data!F$4,'Step 4 Stage Discharge'!P56,IF(A56&gt;=E$7-E$8,C55*B55*E$15+E$4*E$15^2*(B55+C55)+1/3*(2*E$15*E$4)^2*E$15,0))</f>
        <v>0</v>
      </c>
      <c r="E56" s="112">
        <f t="shared" si="5"/>
        <v>470.44800000000004</v>
      </c>
      <c r="F56" s="113">
        <f t="shared" si="0"/>
        <v>0.9</v>
      </c>
      <c r="G56" s="113">
        <f t="shared" si="1"/>
        <v>0.86499999999999999</v>
      </c>
      <c r="H56" s="172">
        <f t="shared" si="2"/>
        <v>0.14152261623449167</v>
      </c>
      <c r="I56" s="172">
        <f t="shared" si="3"/>
        <v>0.20000000000000284</v>
      </c>
      <c r="J56" s="172"/>
      <c r="K56" s="172">
        <f t="shared" si="4"/>
        <v>9.2161777760633223E-2</v>
      </c>
      <c r="L56" s="172"/>
      <c r="M56" s="107">
        <f>IF(D$18=Data!E$3,H56,IF(D$18=Data!E$4,K56,H56+K56))</f>
        <v>0.14152261623449167</v>
      </c>
      <c r="O56" s="69">
        <f t="shared" si="6"/>
        <v>0</v>
      </c>
      <c r="P56" s="72"/>
      <c r="Q56" s="69">
        <f t="shared" si="7"/>
        <v>319</v>
      </c>
    </row>
    <row r="57" spans="1:17">
      <c r="A57" s="72">
        <f t="shared" si="8"/>
        <v>0</v>
      </c>
      <c r="B57" s="69">
        <f>IF(D$20=Data!F$4,"",IF(A57=0,0,+B56+E$15*E$4*2))</f>
        <v>0</v>
      </c>
      <c r="C57" s="69">
        <f>IF(D$20=Data!F$4,"",IF(A57=0,0,+C56+E$15*E$4*2))</f>
        <v>0</v>
      </c>
      <c r="D57" s="112">
        <f>IF(D$20=Data!F$4,'Step 4 Stage Discharge'!P57,IF(A57&gt;=E$7-E$8,C56*B56*E$15+E$4*E$15^2*(B56+C56)+1/3*(2*E$15*E$4)^2*E$15,0))</f>
        <v>0</v>
      </c>
      <c r="E57" s="112">
        <f t="shared" si="5"/>
        <v>470.44800000000004</v>
      </c>
      <c r="F57" s="113">
        <f t="shared" si="0"/>
        <v>0.9</v>
      </c>
      <c r="G57" s="113">
        <f t="shared" si="1"/>
        <v>0.86499999999999999</v>
      </c>
      <c r="H57" s="172">
        <f t="shared" si="2"/>
        <v>0.14152261623449167</v>
      </c>
      <c r="I57" s="172">
        <f t="shared" si="3"/>
        <v>0.20000000000000284</v>
      </c>
      <c r="J57" s="172"/>
      <c r="K57" s="172">
        <f t="shared" si="4"/>
        <v>9.2161777760633223E-2</v>
      </c>
      <c r="L57" s="172"/>
      <c r="M57" s="107">
        <f>IF(D$18=Data!E$3,H57,IF(D$18=Data!E$4,K57,H57+K57))</f>
        <v>0.14152261623449167</v>
      </c>
      <c r="O57" s="69">
        <f t="shared" si="6"/>
        <v>0</v>
      </c>
      <c r="P57" s="72"/>
      <c r="Q57" s="69">
        <f t="shared" si="7"/>
        <v>319</v>
      </c>
    </row>
    <row r="58" spans="1:17">
      <c r="A58" s="72">
        <f t="shared" si="8"/>
        <v>0</v>
      </c>
      <c r="B58" s="69">
        <f>IF(D$20=Data!F$4,"",IF(A58=0,0,+B57+E$15*E$4*2))</f>
        <v>0</v>
      </c>
      <c r="C58" s="69">
        <f>IF(D$20=Data!F$4,"",IF(A58=0,0,+C57+E$15*E$4*2))</f>
        <v>0</v>
      </c>
      <c r="D58" s="112">
        <f>IF(D$20=Data!F$4,'Step 4 Stage Discharge'!P58,IF(A58&gt;=E$7-E$8,C57*B57*E$15+E$4*E$15^2*(B57+C57)+1/3*(2*E$15*E$4)^2*E$15,0))</f>
        <v>0</v>
      </c>
      <c r="E58" s="112">
        <f t="shared" si="5"/>
        <v>470.44800000000004</v>
      </c>
      <c r="F58" s="113">
        <f t="shared" ref="F58:F89" si="9">IF(INT((A58+E$8-E$7)*100)/100&gt;=0,ROUND(-E$7+E$8+A58,3),E$8)</f>
        <v>0.9</v>
      </c>
      <c r="G58" s="113">
        <f t="shared" ref="G58:G89" si="10">F58+E$9-K$11-K$13/2</f>
        <v>0.86499999999999999</v>
      </c>
      <c r="H58" s="172">
        <f t="shared" ref="H58:H89" si="11">IF(G58&gt;=K$13/2,K$12*K$14*(2*9.81*G58)^0.5,IF(G58&lt;0,1.38*(A58-K$11)^2.5,2*G58/K$13*K$12*K$14*(2*9.81*G58)^0.5+(1-2*G58/K$13)*1.38*G58^2.5))</f>
        <v>0.14152261623449167</v>
      </c>
      <c r="I58" s="172">
        <f t="shared" ref="I58:I89" si="12">IF(INT(A58+E$8-E$7)*100/100&lt;0,E$7-K$6,IF(A58&lt;=K$6,0,A58-K$6))</f>
        <v>0.20000000000000284</v>
      </c>
      <c r="J58" s="172"/>
      <c r="K58" s="172">
        <f t="shared" ref="K58:K89" si="13">(K$5-0.2*I58)*1.84*(I58)^1.5</f>
        <v>9.2161777760633223E-2</v>
      </c>
      <c r="L58" s="172"/>
      <c r="M58" s="107">
        <f>IF(D$18=Data!E$3,H58,IF(D$18=Data!E$4,K58,H58+K58))</f>
        <v>0.14152261623449167</v>
      </c>
      <c r="O58" s="69">
        <f t="shared" si="6"/>
        <v>0</v>
      </c>
      <c r="P58" s="72"/>
      <c r="Q58" s="69">
        <f t="shared" si="7"/>
        <v>319</v>
      </c>
    </row>
    <row r="59" spans="1:17">
      <c r="A59" s="72">
        <f t="shared" si="8"/>
        <v>0</v>
      </c>
      <c r="B59" s="69">
        <f>IF(D$20=Data!F$4,"",IF(A59=0,0,+B58+E$15*E$4*2))</f>
        <v>0</v>
      </c>
      <c r="C59" s="69">
        <f>IF(D$20=Data!F$4,"",IF(A59=0,0,+C58+E$15*E$4*2))</f>
        <v>0</v>
      </c>
      <c r="D59" s="112">
        <f>IF(D$20=Data!F$4,'Step 4 Stage Discharge'!P59,IF(A59&gt;=E$7-E$8,C58*B58*E$15+E$4*E$15^2*(B58+C58)+1/3*(2*E$15*E$4)^2*E$15,0))</f>
        <v>0</v>
      </c>
      <c r="E59" s="112">
        <f t="shared" si="5"/>
        <v>470.44800000000004</v>
      </c>
      <c r="F59" s="113">
        <f t="shared" si="9"/>
        <v>0.9</v>
      </c>
      <c r="G59" s="113">
        <f t="shared" si="10"/>
        <v>0.86499999999999999</v>
      </c>
      <c r="H59" s="172">
        <f t="shared" si="11"/>
        <v>0.14152261623449167</v>
      </c>
      <c r="I59" s="172">
        <f t="shared" si="12"/>
        <v>0.20000000000000284</v>
      </c>
      <c r="J59" s="172"/>
      <c r="K59" s="172">
        <f t="shared" si="13"/>
        <v>9.2161777760633223E-2</v>
      </c>
      <c r="L59" s="172"/>
      <c r="M59" s="107">
        <f>IF(D$18=Data!E$3,H59,IF(D$18=Data!E$4,K59,H59+K59))</f>
        <v>0.14152261623449167</v>
      </c>
      <c r="O59" s="69">
        <f t="shared" si="6"/>
        <v>0</v>
      </c>
      <c r="P59" s="72"/>
      <c r="Q59" s="69">
        <f t="shared" si="7"/>
        <v>319</v>
      </c>
    </row>
    <row r="60" spans="1:17">
      <c r="A60" s="72">
        <f t="shared" si="8"/>
        <v>0</v>
      </c>
      <c r="B60" s="69">
        <f>IF(D$20=Data!F$4,"",IF(A60=0,0,+B59+E$15*E$4*2))</f>
        <v>0</v>
      </c>
      <c r="C60" s="69">
        <f>IF(D$20=Data!F$4,"",IF(A60=0,0,+C59+E$15*E$4*2))</f>
        <v>0</v>
      </c>
      <c r="D60" s="112">
        <f>IF(D$20=Data!F$4,'Step 4 Stage Discharge'!P60,IF(A60&gt;=E$7-E$8,C59*B59*E$15+E$4*E$15^2*(B59+C59)+1/3*(2*E$15*E$4)^2*E$15,0))</f>
        <v>0</v>
      </c>
      <c r="E60" s="112">
        <f t="shared" si="5"/>
        <v>470.44800000000004</v>
      </c>
      <c r="F60" s="113">
        <f t="shared" si="9"/>
        <v>0.9</v>
      </c>
      <c r="G60" s="113">
        <f t="shared" si="10"/>
        <v>0.86499999999999999</v>
      </c>
      <c r="H60" s="172">
        <f t="shared" si="11"/>
        <v>0.14152261623449167</v>
      </c>
      <c r="I60" s="172">
        <f t="shared" si="12"/>
        <v>0.20000000000000284</v>
      </c>
      <c r="J60" s="172"/>
      <c r="K60" s="172">
        <f t="shared" si="13"/>
        <v>9.2161777760633223E-2</v>
      </c>
      <c r="L60" s="172"/>
      <c r="M60" s="107">
        <f>IF(D$18=Data!E$3,H60,IF(D$18=Data!E$4,K60,H60+K60))</f>
        <v>0.14152261623449167</v>
      </c>
      <c r="O60" s="69">
        <f t="shared" si="6"/>
        <v>0</v>
      </c>
      <c r="P60" s="72"/>
      <c r="Q60" s="69">
        <f t="shared" si="7"/>
        <v>319</v>
      </c>
    </row>
    <row r="61" spans="1:17">
      <c r="A61" s="72">
        <f t="shared" si="8"/>
        <v>0</v>
      </c>
      <c r="B61" s="69">
        <f>IF(D$20=Data!F$4,"",IF(A61=0,0,+B60+E$15*E$4*2))</f>
        <v>0</v>
      </c>
      <c r="C61" s="69">
        <f>IF(D$20=Data!F$4,"",IF(A61=0,0,+C60+E$15*E$4*2))</f>
        <v>0</v>
      </c>
      <c r="D61" s="112">
        <f>IF(D$20=Data!F$4,'Step 4 Stage Discharge'!P61,IF(A61&gt;=E$7-E$8,C60*B60*E$15+E$4*E$15^2*(B60+C60)+1/3*(2*E$15*E$4)^2*E$15,0))</f>
        <v>0</v>
      </c>
      <c r="E61" s="112">
        <f t="shared" si="5"/>
        <v>470.44800000000004</v>
      </c>
      <c r="F61" s="113">
        <f t="shared" si="9"/>
        <v>0.9</v>
      </c>
      <c r="G61" s="113">
        <f t="shared" si="10"/>
        <v>0.86499999999999999</v>
      </c>
      <c r="H61" s="172">
        <f t="shared" si="11"/>
        <v>0.14152261623449167</v>
      </c>
      <c r="I61" s="172">
        <f t="shared" si="12"/>
        <v>0.20000000000000284</v>
      </c>
      <c r="J61" s="172"/>
      <c r="K61" s="172">
        <f t="shared" si="13"/>
        <v>9.2161777760633223E-2</v>
      </c>
      <c r="L61" s="172"/>
      <c r="M61" s="107">
        <f>IF(D$18=Data!E$3,H61,IF(D$18=Data!E$4,K61,H61+K61))</f>
        <v>0.14152261623449167</v>
      </c>
      <c r="O61" s="69">
        <f t="shared" si="6"/>
        <v>0</v>
      </c>
      <c r="P61" s="72"/>
      <c r="Q61" s="69">
        <f t="shared" si="7"/>
        <v>319</v>
      </c>
    </row>
    <row r="62" spans="1:17">
      <c r="A62" s="72">
        <f t="shared" si="8"/>
        <v>0</v>
      </c>
      <c r="B62" s="69">
        <f>IF(D$20=Data!F$4,"",IF(A62=0,0,+B61+E$15*E$4*2))</f>
        <v>0</v>
      </c>
      <c r="C62" s="69">
        <f>IF(D$20=Data!F$4,"",IF(A62=0,0,+C61+E$15*E$4*2))</f>
        <v>0</v>
      </c>
      <c r="D62" s="112">
        <f>IF(D$20=Data!F$4,'Step 4 Stage Discharge'!P62,IF(A62&gt;=E$7-E$8,C61*B61*E$15+E$4*E$15^2*(B61+C61)+1/3*(2*E$15*E$4)^2*E$15,0))</f>
        <v>0</v>
      </c>
      <c r="E62" s="112">
        <f t="shared" si="5"/>
        <v>470.44800000000004</v>
      </c>
      <c r="F62" s="113">
        <f t="shared" si="9"/>
        <v>0.9</v>
      </c>
      <c r="G62" s="113">
        <f t="shared" si="10"/>
        <v>0.86499999999999999</v>
      </c>
      <c r="H62" s="172">
        <f t="shared" si="11"/>
        <v>0.14152261623449167</v>
      </c>
      <c r="I62" s="172">
        <f t="shared" si="12"/>
        <v>0.20000000000000284</v>
      </c>
      <c r="J62" s="172"/>
      <c r="K62" s="172">
        <f t="shared" si="13"/>
        <v>9.2161777760633223E-2</v>
      </c>
      <c r="L62" s="172"/>
      <c r="M62" s="107">
        <f>IF(D$18=Data!E$3,H62,IF(D$18=Data!E$4,K62,H62+K62))</f>
        <v>0.14152261623449167</v>
      </c>
      <c r="O62" s="69">
        <f t="shared" si="6"/>
        <v>0</v>
      </c>
      <c r="P62" s="72"/>
      <c r="Q62" s="69">
        <f t="shared" si="7"/>
        <v>319</v>
      </c>
    </row>
    <row r="63" spans="1:17">
      <c r="A63" s="72">
        <f t="shared" si="8"/>
        <v>0</v>
      </c>
      <c r="B63" s="69">
        <f>IF(D$20=Data!F$4,"",IF(A63=0,0,+B62+E$15*E$4*2))</f>
        <v>0</v>
      </c>
      <c r="C63" s="69">
        <f>IF(D$20=Data!F$4,"",IF(A63=0,0,+C62+E$15*E$4*2))</f>
        <v>0</v>
      </c>
      <c r="D63" s="112">
        <f>IF(D$20=Data!F$4,'Step 4 Stage Discharge'!P63,IF(A63&gt;=E$7-E$8,C62*B62*E$15+E$4*E$15^2*(B62+C62)+1/3*(2*E$15*E$4)^2*E$15,0))</f>
        <v>0</v>
      </c>
      <c r="E63" s="112">
        <f t="shared" si="5"/>
        <v>470.44800000000004</v>
      </c>
      <c r="F63" s="113">
        <f t="shared" si="9"/>
        <v>0.9</v>
      </c>
      <c r="G63" s="113">
        <f t="shared" si="10"/>
        <v>0.86499999999999999</v>
      </c>
      <c r="H63" s="172">
        <f t="shared" si="11"/>
        <v>0.14152261623449167</v>
      </c>
      <c r="I63" s="172">
        <f t="shared" si="12"/>
        <v>0.20000000000000284</v>
      </c>
      <c r="J63" s="172"/>
      <c r="K63" s="172">
        <f t="shared" si="13"/>
        <v>9.2161777760633223E-2</v>
      </c>
      <c r="L63" s="172"/>
      <c r="M63" s="107">
        <f>IF(D$18=Data!E$3,H63,IF(D$18=Data!E$4,K63,H63+K63))</f>
        <v>0.14152261623449167</v>
      </c>
      <c r="O63" s="69">
        <f t="shared" si="6"/>
        <v>0</v>
      </c>
      <c r="P63" s="72"/>
      <c r="Q63" s="69">
        <f t="shared" si="7"/>
        <v>319</v>
      </c>
    </row>
    <row r="64" spans="1:17">
      <c r="A64" s="72">
        <f t="shared" si="8"/>
        <v>0</v>
      </c>
      <c r="B64" s="69">
        <f>IF(D$20=Data!F$4,"",IF(A64=0,0,+B63+E$15*E$4*2))</f>
        <v>0</v>
      </c>
      <c r="C64" s="69">
        <f>IF(D$20=Data!F$4,"",IF(A64=0,0,+C63+E$15*E$4*2))</f>
        <v>0</v>
      </c>
      <c r="D64" s="112">
        <f>IF(D$20=Data!F$4,'Step 4 Stage Discharge'!P64,IF(A64&gt;=E$7-E$8,C63*B63*E$15+E$4*E$15^2*(B63+C63)+1/3*(2*E$15*E$4)^2*E$15,0))</f>
        <v>0</v>
      </c>
      <c r="E64" s="112">
        <f t="shared" si="5"/>
        <v>470.44800000000004</v>
      </c>
      <c r="F64" s="113">
        <f t="shared" si="9"/>
        <v>0.9</v>
      </c>
      <c r="G64" s="113">
        <f t="shared" si="10"/>
        <v>0.86499999999999999</v>
      </c>
      <c r="H64" s="172">
        <f t="shared" si="11"/>
        <v>0.14152261623449167</v>
      </c>
      <c r="I64" s="172">
        <f t="shared" si="12"/>
        <v>0.20000000000000284</v>
      </c>
      <c r="J64" s="172"/>
      <c r="K64" s="172">
        <f t="shared" si="13"/>
        <v>9.2161777760633223E-2</v>
      </c>
      <c r="L64" s="172"/>
      <c r="M64" s="107">
        <f>IF(D$18=Data!E$3,H64,IF(D$18=Data!E$4,K64,H64+K64))</f>
        <v>0.14152261623449167</v>
      </c>
      <c r="O64" s="69">
        <f t="shared" si="6"/>
        <v>0</v>
      </c>
      <c r="P64" s="72"/>
      <c r="Q64" s="69">
        <f t="shared" si="7"/>
        <v>319</v>
      </c>
    </row>
    <row r="65" spans="1:17">
      <c r="A65" s="72">
        <f t="shared" si="8"/>
        <v>0</v>
      </c>
      <c r="B65" s="69">
        <f>IF(D$20=Data!F$4,"",IF(A65=0,0,+B64+E$15*E$4*2))</f>
        <v>0</v>
      </c>
      <c r="C65" s="69">
        <f>IF(D$20=Data!F$4,"",IF(A65=0,0,+C64+E$15*E$4*2))</f>
        <v>0</v>
      </c>
      <c r="D65" s="112">
        <f>IF(D$20=Data!F$4,'Step 4 Stage Discharge'!P65,IF(A65&gt;=E$7-E$8,C64*B64*E$15+E$4*E$15^2*(B64+C64)+1/3*(2*E$15*E$4)^2*E$15,0))</f>
        <v>0</v>
      </c>
      <c r="E65" s="112">
        <f t="shared" si="5"/>
        <v>470.44800000000004</v>
      </c>
      <c r="F65" s="113">
        <f t="shared" si="9"/>
        <v>0.9</v>
      </c>
      <c r="G65" s="113">
        <f t="shared" si="10"/>
        <v>0.86499999999999999</v>
      </c>
      <c r="H65" s="172">
        <f t="shared" si="11"/>
        <v>0.14152261623449167</v>
      </c>
      <c r="I65" s="172">
        <f t="shared" si="12"/>
        <v>0.20000000000000284</v>
      </c>
      <c r="J65" s="172"/>
      <c r="K65" s="172">
        <f t="shared" si="13"/>
        <v>9.2161777760633223E-2</v>
      </c>
      <c r="L65" s="172"/>
      <c r="M65" s="107">
        <f>IF(D$18=Data!E$3,H65,IF(D$18=Data!E$4,K65,H65+K65))</f>
        <v>0.14152261623449167</v>
      </c>
      <c r="O65" s="69">
        <f t="shared" si="6"/>
        <v>0</v>
      </c>
      <c r="P65" s="72"/>
      <c r="Q65" s="69">
        <f t="shared" si="7"/>
        <v>319</v>
      </c>
    </row>
    <row r="66" spans="1:17">
      <c r="A66" s="72">
        <f t="shared" ref="A66:A97" si="14">IF(AND(ROUND(A65,3)&lt;E$7,A65&gt;=A$26),A65+E$15,0)</f>
        <v>0</v>
      </c>
      <c r="B66" s="69">
        <f>IF(D$20=Data!F$4,"",IF(A66=0,0,+B65+E$15*E$4*2))</f>
        <v>0</v>
      </c>
      <c r="C66" s="69">
        <f>IF(D$20=Data!F$4,"",IF(A66=0,0,+C65+E$15*E$4*2))</f>
        <v>0</v>
      </c>
      <c r="D66" s="112">
        <f>IF(D$20=Data!F$4,'Step 4 Stage Discharge'!P66,IF(A66&gt;=E$7-E$8,C65*B65*E$15+E$4*E$15^2*(B65+C65)+1/3*(2*E$15*E$4)^2*E$15,0))</f>
        <v>0</v>
      </c>
      <c r="E66" s="112">
        <f t="shared" si="5"/>
        <v>470.44800000000004</v>
      </c>
      <c r="F66" s="113">
        <f t="shared" si="9"/>
        <v>0.9</v>
      </c>
      <c r="G66" s="113">
        <f t="shared" si="10"/>
        <v>0.86499999999999999</v>
      </c>
      <c r="H66" s="172">
        <f t="shared" si="11"/>
        <v>0.14152261623449167</v>
      </c>
      <c r="I66" s="172">
        <f t="shared" si="12"/>
        <v>0.20000000000000284</v>
      </c>
      <c r="J66" s="172"/>
      <c r="K66" s="172">
        <f t="shared" si="13"/>
        <v>9.2161777760633223E-2</v>
      </c>
      <c r="L66" s="172"/>
      <c r="M66" s="107">
        <f>IF(D$18=Data!E$3,H66,IF(D$18=Data!E$4,K66,H66+K66))</f>
        <v>0.14152261623449167</v>
      </c>
      <c r="O66" s="69">
        <f t="shared" si="6"/>
        <v>0</v>
      </c>
      <c r="P66" s="72"/>
      <c r="Q66" s="69">
        <f t="shared" si="7"/>
        <v>319</v>
      </c>
    </row>
    <row r="67" spans="1:17">
      <c r="A67" s="72">
        <f t="shared" si="14"/>
        <v>0</v>
      </c>
      <c r="B67" s="69">
        <f>IF(D$20=Data!F$4,"",IF(A67=0,0,+B66+E$15*E$4*2))</f>
        <v>0</v>
      </c>
      <c r="C67" s="69">
        <f>IF(D$20=Data!F$4,"",IF(A67=0,0,+C66+E$15*E$4*2))</f>
        <v>0</v>
      </c>
      <c r="D67" s="112">
        <f>IF(D$20=Data!F$4,'Step 4 Stage Discharge'!P67,IF(A67&gt;=E$7-E$8,C66*B66*E$15+E$4*E$15^2*(B66+C66)+1/3*(2*E$15*E$4)^2*E$15,0))</f>
        <v>0</v>
      </c>
      <c r="E67" s="112">
        <f t="shared" si="5"/>
        <v>470.44800000000004</v>
      </c>
      <c r="F67" s="113">
        <f t="shared" si="9"/>
        <v>0.9</v>
      </c>
      <c r="G67" s="113">
        <f t="shared" si="10"/>
        <v>0.86499999999999999</v>
      </c>
      <c r="H67" s="172">
        <f t="shared" si="11"/>
        <v>0.14152261623449167</v>
      </c>
      <c r="I67" s="172">
        <f t="shared" si="12"/>
        <v>0.20000000000000284</v>
      </c>
      <c r="J67" s="172"/>
      <c r="K67" s="172">
        <f t="shared" si="13"/>
        <v>9.2161777760633223E-2</v>
      </c>
      <c r="L67" s="172"/>
      <c r="M67" s="107">
        <f>IF(D$18=Data!E$3,H67,IF(D$18=Data!E$4,K67,H67+K67))</f>
        <v>0.14152261623449167</v>
      </c>
      <c r="O67" s="69">
        <f t="shared" si="6"/>
        <v>0</v>
      </c>
      <c r="P67" s="72"/>
      <c r="Q67" s="69">
        <f t="shared" si="7"/>
        <v>319</v>
      </c>
    </row>
    <row r="68" spans="1:17">
      <c r="A68" s="72">
        <f t="shared" si="14"/>
        <v>0</v>
      </c>
      <c r="B68" s="69">
        <f>IF(D$20=Data!F$4,"",IF(A68=0,0,+B67+E$15*E$4*2))</f>
        <v>0</v>
      </c>
      <c r="C68" s="69">
        <f>IF(D$20=Data!F$4,"",IF(A68=0,0,+C67+E$15*E$4*2))</f>
        <v>0</v>
      </c>
      <c r="D68" s="112">
        <f>IF(D$20=Data!F$4,'Step 4 Stage Discharge'!P68,IF(A68&gt;=E$7-E$8,C67*B67*E$15+E$4*E$15^2*(B67+C67)+1/3*(2*E$15*E$4)^2*E$15,0))</f>
        <v>0</v>
      </c>
      <c r="E68" s="112">
        <f t="shared" si="5"/>
        <v>470.44800000000004</v>
      </c>
      <c r="F68" s="113">
        <f t="shared" si="9"/>
        <v>0.9</v>
      </c>
      <c r="G68" s="113">
        <f t="shared" si="10"/>
        <v>0.86499999999999999</v>
      </c>
      <c r="H68" s="172">
        <f t="shared" si="11"/>
        <v>0.14152261623449167</v>
      </c>
      <c r="I68" s="172">
        <f t="shared" si="12"/>
        <v>0.20000000000000284</v>
      </c>
      <c r="J68" s="172"/>
      <c r="K68" s="172">
        <f t="shared" si="13"/>
        <v>9.2161777760633223E-2</v>
      </c>
      <c r="L68" s="172"/>
      <c r="M68" s="107">
        <f>IF(D$18=Data!E$3,H68,IF(D$18=Data!E$4,K68,H68+K68))</f>
        <v>0.14152261623449167</v>
      </c>
      <c r="O68" s="69">
        <f t="shared" si="6"/>
        <v>0</v>
      </c>
      <c r="P68" s="72"/>
      <c r="Q68" s="69">
        <f t="shared" si="7"/>
        <v>319</v>
      </c>
    </row>
    <row r="69" spans="1:17">
      <c r="A69" s="72">
        <f t="shared" si="14"/>
        <v>0</v>
      </c>
      <c r="B69" s="69">
        <f>IF(D$20=Data!F$4,"",IF(A69=0,0,+B68+E$15*E$4*2))</f>
        <v>0</v>
      </c>
      <c r="C69" s="69">
        <f>IF(D$20=Data!F$4,"",IF(A69=0,0,+C68+E$15*E$4*2))</f>
        <v>0</v>
      </c>
      <c r="D69" s="112">
        <f>IF(D$20=Data!F$4,'Step 4 Stage Discharge'!P69,IF(A69&gt;=E$7-E$8,C68*B68*E$15+E$4*E$15^2*(B68+C68)+1/3*(2*E$15*E$4)^2*E$15,0))</f>
        <v>0</v>
      </c>
      <c r="E69" s="112">
        <f t="shared" si="5"/>
        <v>470.44800000000004</v>
      </c>
      <c r="F69" s="113">
        <f t="shared" si="9"/>
        <v>0.9</v>
      </c>
      <c r="G69" s="113">
        <f t="shared" si="10"/>
        <v>0.86499999999999999</v>
      </c>
      <c r="H69" s="172">
        <f t="shared" si="11"/>
        <v>0.14152261623449167</v>
      </c>
      <c r="I69" s="172">
        <f t="shared" si="12"/>
        <v>0.20000000000000284</v>
      </c>
      <c r="J69" s="172"/>
      <c r="K69" s="172">
        <f t="shared" si="13"/>
        <v>9.2161777760633223E-2</v>
      </c>
      <c r="L69" s="172"/>
      <c r="M69" s="107">
        <f>IF(D$18=Data!E$3,H69,IF(D$18=Data!E$4,K69,H69+K69))</f>
        <v>0.14152261623449167</v>
      </c>
      <c r="O69" s="69">
        <f t="shared" si="6"/>
        <v>0</v>
      </c>
      <c r="P69" s="72"/>
      <c r="Q69" s="69">
        <f t="shared" si="7"/>
        <v>319</v>
      </c>
    </row>
    <row r="70" spans="1:17">
      <c r="A70" s="72">
        <f t="shared" si="14"/>
        <v>0</v>
      </c>
      <c r="B70" s="69">
        <f>IF(D$20=Data!F$4,"",IF(A70=0,0,+B69+E$15*E$4*2))</f>
        <v>0</v>
      </c>
      <c r="C70" s="69">
        <f>IF(D$20=Data!F$4,"",IF(A70=0,0,+C69+E$15*E$4*2))</f>
        <v>0</v>
      </c>
      <c r="D70" s="112">
        <f>IF(D$20=Data!F$4,'Step 4 Stage Discharge'!P70,IF(A70&gt;=E$7-E$8,C69*B69*E$15+E$4*E$15^2*(B69+C69)+1/3*(2*E$15*E$4)^2*E$15,0))</f>
        <v>0</v>
      </c>
      <c r="E70" s="112">
        <f t="shared" si="5"/>
        <v>470.44800000000004</v>
      </c>
      <c r="F70" s="113">
        <f t="shared" si="9"/>
        <v>0.9</v>
      </c>
      <c r="G70" s="113">
        <f t="shared" si="10"/>
        <v>0.86499999999999999</v>
      </c>
      <c r="H70" s="172">
        <f t="shared" si="11"/>
        <v>0.14152261623449167</v>
      </c>
      <c r="I70" s="172">
        <f t="shared" si="12"/>
        <v>0.20000000000000284</v>
      </c>
      <c r="J70" s="172"/>
      <c r="K70" s="172">
        <f t="shared" si="13"/>
        <v>9.2161777760633223E-2</v>
      </c>
      <c r="L70" s="172"/>
      <c r="M70" s="107">
        <f>IF(D$18=Data!E$3,H70,IF(D$18=Data!E$4,K70,H70+K70))</f>
        <v>0.14152261623449167</v>
      </c>
      <c r="O70" s="69">
        <f t="shared" si="6"/>
        <v>0</v>
      </c>
      <c r="P70" s="72"/>
      <c r="Q70" s="69">
        <f t="shared" si="7"/>
        <v>319</v>
      </c>
    </row>
    <row r="71" spans="1:17">
      <c r="A71" s="72">
        <f t="shared" si="14"/>
        <v>0</v>
      </c>
      <c r="B71" s="69">
        <f>IF(D$20=Data!F$4,"",IF(A71=0,0,+B70+E$15*E$4*2))</f>
        <v>0</v>
      </c>
      <c r="C71" s="69">
        <f>IF(D$20=Data!F$4,"",IF(A71=0,0,+C70+E$15*E$4*2))</f>
        <v>0</v>
      </c>
      <c r="D71" s="112">
        <f>IF(D$20=Data!F$4,'Step 4 Stage Discharge'!P71,IF(A71&gt;=E$7-E$8,C70*B70*E$15+E$4*E$15^2*(B70+C70)+1/3*(2*E$15*E$4)^2*E$15,0))</f>
        <v>0</v>
      </c>
      <c r="E71" s="112">
        <f t="shared" si="5"/>
        <v>470.44800000000004</v>
      </c>
      <c r="F71" s="113">
        <f t="shared" si="9"/>
        <v>0.9</v>
      </c>
      <c r="G71" s="113">
        <f t="shared" si="10"/>
        <v>0.86499999999999999</v>
      </c>
      <c r="H71" s="172">
        <f t="shared" si="11"/>
        <v>0.14152261623449167</v>
      </c>
      <c r="I71" s="172">
        <f t="shared" si="12"/>
        <v>0.20000000000000284</v>
      </c>
      <c r="J71" s="172"/>
      <c r="K71" s="172">
        <f t="shared" si="13"/>
        <v>9.2161777760633223E-2</v>
      </c>
      <c r="L71" s="172"/>
      <c r="M71" s="107">
        <f>IF(D$18=Data!E$3,H71,IF(D$18=Data!E$4,K71,H71+K71))</f>
        <v>0.14152261623449167</v>
      </c>
      <c r="O71" s="69">
        <f t="shared" si="6"/>
        <v>0</v>
      </c>
      <c r="P71" s="72"/>
      <c r="Q71" s="69">
        <f t="shared" si="7"/>
        <v>319</v>
      </c>
    </row>
    <row r="72" spans="1:17">
      <c r="A72" s="72">
        <f t="shared" si="14"/>
        <v>0</v>
      </c>
      <c r="B72" s="69">
        <f>IF(D$20=Data!F$4,"",IF(A72=0,0,+B71+E$15*E$4*2))</f>
        <v>0</v>
      </c>
      <c r="C72" s="69">
        <f>IF(D$20=Data!F$4,"",IF(A72=0,0,+C71+E$15*E$4*2))</f>
        <v>0</v>
      </c>
      <c r="D72" s="112">
        <f>IF(D$20=Data!F$4,'Step 4 Stage Discharge'!P72,IF(A72&gt;=E$7-E$8,C71*B71*E$15+E$4*E$15^2*(B71+C71)+1/3*(2*E$15*E$4)^2*E$15,0))</f>
        <v>0</v>
      </c>
      <c r="E72" s="112">
        <f t="shared" si="5"/>
        <v>470.44800000000004</v>
      </c>
      <c r="F72" s="113">
        <f t="shared" si="9"/>
        <v>0.9</v>
      </c>
      <c r="G72" s="113">
        <f t="shared" si="10"/>
        <v>0.86499999999999999</v>
      </c>
      <c r="H72" s="172">
        <f t="shared" si="11"/>
        <v>0.14152261623449167</v>
      </c>
      <c r="I72" s="172">
        <f t="shared" si="12"/>
        <v>0.20000000000000284</v>
      </c>
      <c r="J72" s="172"/>
      <c r="K72" s="172">
        <f t="shared" si="13"/>
        <v>9.2161777760633223E-2</v>
      </c>
      <c r="L72" s="172"/>
      <c r="M72" s="107">
        <f>IF(D$18=Data!E$3,H72,IF(D$18=Data!E$4,K72,H72+K72))</f>
        <v>0.14152261623449167</v>
      </c>
      <c r="O72" s="69">
        <f t="shared" si="6"/>
        <v>0</v>
      </c>
      <c r="P72" s="72"/>
      <c r="Q72" s="69">
        <f t="shared" si="7"/>
        <v>319</v>
      </c>
    </row>
    <row r="73" spans="1:17">
      <c r="A73" s="72">
        <f t="shared" si="14"/>
        <v>0</v>
      </c>
      <c r="B73" s="69">
        <f>IF(D$20=Data!F$4,"",IF(A73=0,0,+B72+E$15*E$4*2))</f>
        <v>0</v>
      </c>
      <c r="C73" s="69">
        <f>IF(D$20=Data!F$4,"",IF(A73=0,0,+C72+E$15*E$4*2))</f>
        <v>0</v>
      </c>
      <c r="D73" s="112">
        <f>IF(D$20=Data!F$4,'Step 4 Stage Discharge'!P73,IF(A73&gt;=E$7-E$8,C72*B72*E$15+E$4*E$15^2*(B72+C72)+1/3*(2*E$15*E$4)^2*E$15,0))</f>
        <v>0</v>
      </c>
      <c r="E73" s="112">
        <f t="shared" si="5"/>
        <v>470.44800000000004</v>
      </c>
      <c r="F73" s="113">
        <f t="shared" si="9"/>
        <v>0.9</v>
      </c>
      <c r="G73" s="113">
        <f t="shared" si="10"/>
        <v>0.86499999999999999</v>
      </c>
      <c r="H73" s="172">
        <f t="shared" si="11"/>
        <v>0.14152261623449167</v>
      </c>
      <c r="I73" s="172">
        <f t="shared" si="12"/>
        <v>0.20000000000000284</v>
      </c>
      <c r="J73" s="172"/>
      <c r="K73" s="172">
        <f t="shared" si="13"/>
        <v>9.2161777760633223E-2</v>
      </c>
      <c r="L73" s="172"/>
      <c r="M73" s="107">
        <f>IF(D$18=Data!E$3,H73,IF(D$18=Data!E$4,K73,H73+K73))</f>
        <v>0.14152261623449167</v>
      </c>
      <c r="O73" s="69">
        <f t="shared" si="6"/>
        <v>0</v>
      </c>
      <c r="P73" s="72"/>
      <c r="Q73" s="69">
        <f t="shared" si="7"/>
        <v>319</v>
      </c>
    </row>
    <row r="74" spans="1:17">
      <c r="A74" s="72">
        <f t="shared" si="14"/>
        <v>0</v>
      </c>
      <c r="B74" s="69">
        <f>IF(D$20=Data!F$4,"",IF(A74=0,0,+B73+E$15*E$4*2))</f>
        <v>0</v>
      </c>
      <c r="C74" s="69">
        <f>IF(D$20=Data!F$4,"",IF(A74=0,0,+C73+E$15*E$4*2))</f>
        <v>0</v>
      </c>
      <c r="D74" s="112">
        <f>IF(D$20=Data!F$4,'Step 4 Stage Discharge'!P74,IF(A74&gt;=E$7-E$8,C73*B73*E$15+E$4*E$15^2*(B73+C73)+1/3*(2*E$15*E$4)^2*E$15,0))</f>
        <v>0</v>
      </c>
      <c r="E74" s="112">
        <f t="shared" si="5"/>
        <v>470.44800000000004</v>
      </c>
      <c r="F74" s="113">
        <f t="shared" si="9"/>
        <v>0.9</v>
      </c>
      <c r="G74" s="113">
        <f t="shared" si="10"/>
        <v>0.86499999999999999</v>
      </c>
      <c r="H74" s="172">
        <f t="shared" si="11"/>
        <v>0.14152261623449167</v>
      </c>
      <c r="I74" s="172">
        <f t="shared" si="12"/>
        <v>0.20000000000000284</v>
      </c>
      <c r="J74" s="172"/>
      <c r="K74" s="172">
        <f t="shared" si="13"/>
        <v>9.2161777760633223E-2</v>
      </c>
      <c r="L74" s="172"/>
      <c r="M74" s="107">
        <f>IF(D$18=Data!E$3,H74,IF(D$18=Data!E$4,K74,H74+K74))</f>
        <v>0.14152261623449167</v>
      </c>
      <c r="O74" s="69">
        <f t="shared" si="6"/>
        <v>0</v>
      </c>
      <c r="P74" s="72"/>
      <c r="Q74" s="69">
        <f t="shared" si="7"/>
        <v>319</v>
      </c>
    </row>
    <row r="75" spans="1:17">
      <c r="A75" s="72">
        <f t="shared" si="14"/>
        <v>0</v>
      </c>
      <c r="B75" s="69">
        <f>IF(D$20=Data!F$4,"",IF(A75=0,0,+B74+E$15*E$4*2))</f>
        <v>0</v>
      </c>
      <c r="C75" s="69">
        <f>IF(D$20=Data!F$4,"",IF(A75=0,0,+C74+E$15*E$4*2))</f>
        <v>0</v>
      </c>
      <c r="D75" s="112">
        <f>IF(D$20=Data!F$4,'Step 4 Stage Discharge'!P75,IF(A75&gt;=E$7-E$8,C74*B74*E$15+E$4*E$15^2*(B74+C74)+1/3*(2*E$15*E$4)^2*E$15,0))</f>
        <v>0</v>
      </c>
      <c r="E75" s="112">
        <f t="shared" si="5"/>
        <v>470.44800000000004</v>
      </c>
      <c r="F75" s="113">
        <f t="shared" si="9"/>
        <v>0.9</v>
      </c>
      <c r="G75" s="113">
        <f t="shared" si="10"/>
        <v>0.86499999999999999</v>
      </c>
      <c r="H75" s="172">
        <f t="shared" si="11"/>
        <v>0.14152261623449167</v>
      </c>
      <c r="I75" s="172">
        <f t="shared" si="12"/>
        <v>0.20000000000000284</v>
      </c>
      <c r="J75" s="172"/>
      <c r="K75" s="172">
        <f t="shared" si="13"/>
        <v>9.2161777760633223E-2</v>
      </c>
      <c r="L75" s="172"/>
      <c r="M75" s="107">
        <f>IF(D$18=Data!E$3,H75,IF(D$18=Data!E$4,K75,H75+K75))</f>
        <v>0.14152261623449167</v>
      </c>
      <c r="O75" s="69">
        <f t="shared" si="6"/>
        <v>0</v>
      </c>
      <c r="P75" s="72"/>
      <c r="Q75" s="69">
        <f t="shared" si="7"/>
        <v>319</v>
      </c>
    </row>
    <row r="76" spans="1:17">
      <c r="A76" s="72">
        <f t="shared" si="14"/>
        <v>0</v>
      </c>
      <c r="B76" s="69">
        <f>IF(D$20=Data!F$4,"",IF(A76=0,0,+B75+E$15*E$4*2))</f>
        <v>0</v>
      </c>
      <c r="C76" s="69">
        <f>IF(D$20=Data!F$4,"",IF(A76=0,0,+C75+E$15*E$4*2))</f>
        <v>0</v>
      </c>
      <c r="D76" s="112">
        <f>IF(D$20=Data!F$4,'Step 4 Stage Discharge'!P76,IF(A76&gt;=E$7-E$8,C75*B75*E$15+E$4*E$15^2*(B75+C75)+1/3*(2*E$15*E$4)^2*E$15,0))</f>
        <v>0</v>
      </c>
      <c r="E76" s="112">
        <f t="shared" si="5"/>
        <v>470.44800000000004</v>
      </c>
      <c r="F76" s="113">
        <f t="shared" si="9"/>
        <v>0.9</v>
      </c>
      <c r="G76" s="113">
        <f t="shared" si="10"/>
        <v>0.86499999999999999</v>
      </c>
      <c r="H76" s="172">
        <f t="shared" si="11"/>
        <v>0.14152261623449167</v>
      </c>
      <c r="I76" s="172">
        <f t="shared" si="12"/>
        <v>0.20000000000000284</v>
      </c>
      <c r="J76" s="172"/>
      <c r="K76" s="172">
        <f t="shared" si="13"/>
        <v>9.2161777760633223E-2</v>
      </c>
      <c r="L76" s="172"/>
      <c r="M76" s="107">
        <f>IF(D$18=Data!E$3,H76,IF(D$18=Data!E$4,K76,H76+K76))</f>
        <v>0.14152261623449167</v>
      </c>
      <c r="O76" s="69">
        <f t="shared" si="6"/>
        <v>0</v>
      </c>
      <c r="P76" s="72"/>
      <c r="Q76" s="69">
        <f t="shared" si="7"/>
        <v>319</v>
      </c>
    </row>
    <row r="77" spans="1:17">
      <c r="A77" s="72">
        <f t="shared" si="14"/>
        <v>0</v>
      </c>
      <c r="B77" s="69">
        <f>IF(D$20=Data!F$4,"",IF(A77=0,0,+B76+E$15*E$4*2))</f>
        <v>0</v>
      </c>
      <c r="C77" s="69">
        <f>IF(D$20=Data!F$4,"",IF(A77=0,0,+C76+E$15*E$4*2))</f>
        <v>0</v>
      </c>
      <c r="D77" s="112">
        <f>IF(D$20=Data!F$4,'Step 4 Stage Discharge'!P77,IF(A77&gt;=E$7-E$8,C76*B76*E$15+E$4*E$15^2*(B76+C76)+1/3*(2*E$15*E$4)^2*E$15,0))</f>
        <v>0</v>
      </c>
      <c r="E77" s="112">
        <f t="shared" si="5"/>
        <v>470.44800000000004</v>
      </c>
      <c r="F77" s="113">
        <f t="shared" si="9"/>
        <v>0.9</v>
      </c>
      <c r="G77" s="113">
        <f t="shared" si="10"/>
        <v>0.86499999999999999</v>
      </c>
      <c r="H77" s="172">
        <f t="shared" si="11"/>
        <v>0.14152261623449167</v>
      </c>
      <c r="I77" s="172">
        <f t="shared" si="12"/>
        <v>0.20000000000000284</v>
      </c>
      <c r="J77" s="172"/>
      <c r="K77" s="172">
        <f t="shared" si="13"/>
        <v>9.2161777760633223E-2</v>
      </c>
      <c r="L77" s="172"/>
      <c r="M77" s="107">
        <f>IF(D$18=Data!E$3,H77,IF(D$18=Data!E$4,K77,H77+K77))</f>
        <v>0.14152261623449167</v>
      </c>
      <c r="O77" s="69">
        <f t="shared" si="6"/>
        <v>0</v>
      </c>
      <c r="P77" s="72"/>
      <c r="Q77" s="69">
        <f t="shared" si="7"/>
        <v>319</v>
      </c>
    </row>
    <row r="78" spans="1:17">
      <c r="A78" s="72">
        <f t="shared" si="14"/>
        <v>0</v>
      </c>
      <c r="B78" s="69">
        <f>IF(D$20=Data!F$4,"",IF(A78=0,0,+B77+E$15*E$4*2))</f>
        <v>0</v>
      </c>
      <c r="C78" s="69">
        <f>IF(D$20=Data!F$4,"",IF(A78=0,0,+C77+E$15*E$4*2))</f>
        <v>0</v>
      </c>
      <c r="D78" s="112">
        <f>IF(D$20=Data!F$4,'Step 4 Stage Discharge'!P78,IF(A78&gt;=E$7-E$8,C77*B77*E$15+E$4*E$15^2*(B77+C77)+1/3*(2*E$15*E$4)^2*E$15,0))</f>
        <v>0</v>
      </c>
      <c r="E78" s="112">
        <f t="shared" si="5"/>
        <v>470.44800000000004</v>
      </c>
      <c r="F78" s="113">
        <f t="shared" si="9"/>
        <v>0.9</v>
      </c>
      <c r="G78" s="113">
        <f t="shared" si="10"/>
        <v>0.86499999999999999</v>
      </c>
      <c r="H78" s="172">
        <f t="shared" si="11"/>
        <v>0.14152261623449167</v>
      </c>
      <c r="I78" s="172">
        <f t="shared" si="12"/>
        <v>0.20000000000000284</v>
      </c>
      <c r="J78" s="172"/>
      <c r="K78" s="172">
        <f t="shared" si="13"/>
        <v>9.2161777760633223E-2</v>
      </c>
      <c r="L78" s="172"/>
      <c r="M78" s="107">
        <f>IF(D$18=Data!E$3,H78,IF(D$18=Data!E$4,K78,H78+K78))</f>
        <v>0.14152261623449167</v>
      </c>
      <c r="O78" s="69">
        <f t="shared" si="6"/>
        <v>0</v>
      </c>
      <c r="P78" s="72"/>
      <c r="Q78" s="69">
        <f t="shared" si="7"/>
        <v>319</v>
      </c>
    </row>
    <row r="79" spans="1:17">
      <c r="A79" s="72">
        <f t="shared" si="14"/>
        <v>0</v>
      </c>
      <c r="B79" s="69">
        <f>IF(D$20=Data!F$4,"",IF(A79=0,0,+B78+E$15*E$4*2))</f>
        <v>0</v>
      </c>
      <c r="C79" s="69">
        <f>IF(D$20=Data!F$4,"",IF(A79=0,0,+C78+E$15*E$4*2))</f>
        <v>0</v>
      </c>
      <c r="D79" s="112">
        <f>IF(D$20=Data!F$4,'Step 4 Stage Discharge'!P79,IF(A79&gt;=E$7-E$8,C78*B78*E$15+E$4*E$15^2*(B78+C78)+1/3*(2*E$15*E$4)^2*E$15,0))</f>
        <v>0</v>
      </c>
      <c r="E79" s="112">
        <f t="shared" si="5"/>
        <v>470.44800000000004</v>
      </c>
      <c r="F79" s="113">
        <f t="shared" si="9"/>
        <v>0.9</v>
      </c>
      <c r="G79" s="113">
        <f t="shared" si="10"/>
        <v>0.86499999999999999</v>
      </c>
      <c r="H79" s="172">
        <f t="shared" si="11"/>
        <v>0.14152261623449167</v>
      </c>
      <c r="I79" s="172">
        <f t="shared" si="12"/>
        <v>0.20000000000000284</v>
      </c>
      <c r="J79" s="172"/>
      <c r="K79" s="172">
        <f t="shared" si="13"/>
        <v>9.2161777760633223E-2</v>
      </c>
      <c r="L79" s="172"/>
      <c r="M79" s="107">
        <f>IF(D$18=Data!E$3,H79,IF(D$18=Data!E$4,K79,H79+K79))</f>
        <v>0.14152261623449167</v>
      </c>
      <c r="O79" s="69">
        <f t="shared" si="6"/>
        <v>0</v>
      </c>
      <c r="P79" s="72"/>
      <c r="Q79" s="69">
        <f t="shared" si="7"/>
        <v>319</v>
      </c>
    </row>
    <row r="80" spans="1:17">
      <c r="A80" s="72">
        <f t="shared" si="14"/>
        <v>0</v>
      </c>
      <c r="B80" s="69">
        <f>IF(D$20=Data!F$4,"",IF(A80=0,0,+B79+E$15*E$4*2))</f>
        <v>0</v>
      </c>
      <c r="C80" s="69">
        <f>IF(D$20=Data!F$4,"",IF(A80=0,0,+C79+E$15*E$4*2))</f>
        <v>0</v>
      </c>
      <c r="D80" s="112">
        <f>IF(D$20=Data!F$4,'Step 4 Stage Discharge'!P80,IF(A80&gt;=E$7-E$8,C79*B79*E$15+E$4*E$15^2*(B79+C79)+1/3*(2*E$15*E$4)^2*E$15,0))</f>
        <v>0</v>
      </c>
      <c r="E80" s="112">
        <f t="shared" si="5"/>
        <v>470.44800000000004</v>
      </c>
      <c r="F80" s="113">
        <f t="shared" si="9"/>
        <v>0.9</v>
      </c>
      <c r="G80" s="113">
        <f t="shared" si="10"/>
        <v>0.86499999999999999</v>
      </c>
      <c r="H80" s="172">
        <f t="shared" si="11"/>
        <v>0.14152261623449167</v>
      </c>
      <c r="I80" s="172">
        <f t="shared" si="12"/>
        <v>0.20000000000000284</v>
      </c>
      <c r="J80" s="172"/>
      <c r="K80" s="172">
        <f t="shared" si="13"/>
        <v>9.2161777760633223E-2</v>
      </c>
      <c r="L80" s="172"/>
      <c r="M80" s="107">
        <f>IF(D$18=Data!E$3,H80,IF(D$18=Data!E$4,K80,H80+K80))</f>
        <v>0.14152261623449167</v>
      </c>
      <c r="O80" s="69">
        <f t="shared" si="6"/>
        <v>0</v>
      </c>
      <c r="P80" s="72"/>
      <c r="Q80" s="69">
        <f t="shared" si="7"/>
        <v>319</v>
      </c>
    </row>
    <row r="81" spans="1:17">
      <c r="A81" s="72">
        <f t="shared" si="14"/>
        <v>0</v>
      </c>
      <c r="B81" s="69">
        <f>IF(D$20=Data!F$4,"",IF(A81=0,0,+B80+E$15*E$4*2))</f>
        <v>0</v>
      </c>
      <c r="C81" s="69">
        <f>IF(D$20=Data!F$4,"",IF(A81=0,0,+C80+E$15*E$4*2))</f>
        <v>0</v>
      </c>
      <c r="D81" s="112">
        <f>IF(D$20=Data!F$4,'Step 4 Stage Discharge'!P81,IF(A81&gt;=E$7-E$8,C80*B80*E$15+E$4*E$15^2*(B80+C80)+1/3*(2*E$15*E$4)^2*E$15,0))</f>
        <v>0</v>
      </c>
      <c r="E81" s="112">
        <f t="shared" si="5"/>
        <v>470.44800000000004</v>
      </c>
      <c r="F81" s="113">
        <f t="shared" si="9"/>
        <v>0.9</v>
      </c>
      <c r="G81" s="113">
        <f t="shared" si="10"/>
        <v>0.86499999999999999</v>
      </c>
      <c r="H81" s="172">
        <f t="shared" si="11"/>
        <v>0.14152261623449167</v>
      </c>
      <c r="I81" s="172">
        <f t="shared" si="12"/>
        <v>0.20000000000000284</v>
      </c>
      <c r="J81" s="172"/>
      <c r="K81" s="172">
        <f t="shared" si="13"/>
        <v>9.2161777760633223E-2</v>
      </c>
      <c r="L81" s="172"/>
      <c r="M81" s="107">
        <f>IF(D$18=Data!E$3,H81,IF(D$18=Data!E$4,K81,H81+K81))</f>
        <v>0.14152261623449167</v>
      </c>
      <c r="O81" s="69">
        <f t="shared" si="6"/>
        <v>0</v>
      </c>
      <c r="P81" s="72"/>
      <c r="Q81" s="69">
        <f t="shared" si="7"/>
        <v>319</v>
      </c>
    </row>
    <row r="82" spans="1:17">
      <c r="A82" s="72">
        <f t="shared" si="14"/>
        <v>0</v>
      </c>
      <c r="B82" s="69">
        <f>IF(D$20=Data!F$4,"",IF(A82=0,0,+B81+E$15*E$4*2))</f>
        <v>0</v>
      </c>
      <c r="C82" s="69">
        <f>IF(D$20=Data!F$4,"",IF(A82=0,0,+C81+E$15*E$4*2))</f>
        <v>0</v>
      </c>
      <c r="D82" s="112">
        <f>IF(D$20=Data!F$4,'Step 4 Stage Discharge'!P82,IF(A82&gt;=E$7-E$8,C81*B81*E$15+E$4*E$15^2*(B81+C81)+1/3*(2*E$15*E$4)^2*E$15,0))</f>
        <v>0</v>
      </c>
      <c r="E82" s="112">
        <f t="shared" si="5"/>
        <v>470.44800000000004</v>
      </c>
      <c r="F82" s="113">
        <f t="shared" si="9"/>
        <v>0.9</v>
      </c>
      <c r="G82" s="113">
        <f t="shared" si="10"/>
        <v>0.86499999999999999</v>
      </c>
      <c r="H82" s="172">
        <f t="shared" si="11"/>
        <v>0.14152261623449167</v>
      </c>
      <c r="I82" s="172">
        <f t="shared" si="12"/>
        <v>0.20000000000000284</v>
      </c>
      <c r="J82" s="172"/>
      <c r="K82" s="172">
        <f t="shared" si="13"/>
        <v>9.2161777760633223E-2</v>
      </c>
      <c r="L82" s="172"/>
      <c r="M82" s="107">
        <f>IF(D$18=Data!E$3,H82,IF(D$18=Data!E$4,K82,H82+K82))</f>
        <v>0.14152261623449167</v>
      </c>
      <c r="O82" s="69">
        <f t="shared" si="6"/>
        <v>0</v>
      </c>
      <c r="P82" s="72"/>
      <c r="Q82" s="69">
        <f t="shared" si="7"/>
        <v>319</v>
      </c>
    </row>
    <row r="83" spans="1:17">
      <c r="A83" s="72">
        <f t="shared" si="14"/>
        <v>0</v>
      </c>
      <c r="B83" s="69">
        <f>IF(D$20=Data!F$4,"",IF(A83=0,0,+B82+E$15*E$4*2))</f>
        <v>0</v>
      </c>
      <c r="C83" s="69">
        <f>IF(D$20=Data!F$4,"",IF(A83=0,0,+C82+E$15*E$4*2))</f>
        <v>0</v>
      </c>
      <c r="D83" s="112">
        <f>IF(D$20=Data!F$4,'Step 4 Stage Discharge'!P83,IF(A83&gt;=E$7-E$8,C82*B82*E$15+E$4*E$15^2*(B82+C82)+1/3*(2*E$15*E$4)^2*E$15,0))</f>
        <v>0</v>
      </c>
      <c r="E83" s="112">
        <f t="shared" si="5"/>
        <v>470.44800000000004</v>
      </c>
      <c r="F83" s="113">
        <f t="shared" si="9"/>
        <v>0.9</v>
      </c>
      <c r="G83" s="113">
        <f t="shared" si="10"/>
        <v>0.86499999999999999</v>
      </c>
      <c r="H83" s="172">
        <f t="shared" si="11"/>
        <v>0.14152261623449167</v>
      </c>
      <c r="I83" s="172">
        <f t="shared" si="12"/>
        <v>0.20000000000000284</v>
      </c>
      <c r="J83" s="172"/>
      <c r="K83" s="172">
        <f t="shared" si="13"/>
        <v>9.2161777760633223E-2</v>
      </c>
      <c r="L83" s="172"/>
      <c r="M83" s="107">
        <f>IF(D$18=Data!E$3,H83,IF(D$18=Data!E$4,K83,H83+K83))</f>
        <v>0.14152261623449167</v>
      </c>
      <c r="O83" s="69">
        <f t="shared" si="6"/>
        <v>0</v>
      </c>
      <c r="P83" s="72"/>
      <c r="Q83" s="69">
        <f t="shared" si="7"/>
        <v>319</v>
      </c>
    </row>
    <row r="84" spans="1:17">
      <c r="A84" s="72">
        <f t="shared" si="14"/>
        <v>0</v>
      </c>
      <c r="B84" s="69">
        <f>IF(D$20=Data!F$4,"",IF(A84=0,0,+B83+E$15*E$4*2))</f>
        <v>0</v>
      </c>
      <c r="C84" s="69">
        <f>IF(D$20=Data!F$4,"",IF(A84=0,0,+C83+E$15*E$4*2))</f>
        <v>0</v>
      </c>
      <c r="D84" s="112">
        <f>IF(D$20=Data!F$4,'Step 4 Stage Discharge'!P84,IF(A84&gt;=E$7-E$8,C83*B83*E$15+E$4*E$15^2*(B83+C83)+1/3*(2*E$15*E$4)^2*E$15,0))</f>
        <v>0</v>
      </c>
      <c r="E84" s="112">
        <f t="shared" si="5"/>
        <v>470.44800000000004</v>
      </c>
      <c r="F84" s="113">
        <f t="shared" si="9"/>
        <v>0.9</v>
      </c>
      <c r="G84" s="113">
        <f t="shared" si="10"/>
        <v>0.86499999999999999</v>
      </c>
      <c r="H84" s="172">
        <f t="shared" si="11"/>
        <v>0.14152261623449167</v>
      </c>
      <c r="I84" s="172">
        <f t="shared" si="12"/>
        <v>0.20000000000000284</v>
      </c>
      <c r="J84" s="172"/>
      <c r="K84" s="172">
        <f t="shared" si="13"/>
        <v>9.2161777760633223E-2</v>
      </c>
      <c r="L84" s="172"/>
      <c r="M84" s="107">
        <f>IF(D$18=Data!E$3,H84,IF(D$18=Data!E$4,K84,H84+K84))</f>
        <v>0.14152261623449167</v>
      </c>
      <c r="O84" s="69">
        <f t="shared" si="6"/>
        <v>0</v>
      </c>
      <c r="P84" s="72"/>
      <c r="Q84" s="69">
        <f t="shared" si="7"/>
        <v>319</v>
      </c>
    </row>
    <row r="85" spans="1:17">
      <c r="A85" s="72">
        <f t="shared" si="14"/>
        <v>0</v>
      </c>
      <c r="B85" s="69">
        <f>IF(D$20=Data!F$4,"",IF(A85=0,0,+B84+E$15*E$4*2))</f>
        <v>0</v>
      </c>
      <c r="C85" s="69">
        <f>IF(D$20=Data!F$4,"",IF(A85=0,0,+C84+E$15*E$4*2))</f>
        <v>0</v>
      </c>
      <c r="D85" s="112">
        <f>IF(D$20=Data!F$4,'Step 4 Stage Discharge'!P85,IF(A85&gt;=E$7-E$8,C84*B84*E$15+E$4*E$15^2*(B84+C84)+1/3*(2*E$15*E$4)^2*E$15,0))</f>
        <v>0</v>
      </c>
      <c r="E85" s="112">
        <f t="shared" si="5"/>
        <v>470.44800000000004</v>
      </c>
      <c r="F85" s="113">
        <f t="shared" si="9"/>
        <v>0.9</v>
      </c>
      <c r="G85" s="113">
        <f t="shared" si="10"/>
        <v>0.86499999999999999</v>
      </c>
      <c r="H85" s="172">
        <f t="shared" si="11"/>
        <v>0.14152261623449167</v>
      </c>
      <c r="I85" s="172">
        <f t="shared" si="12"/>
        <v>0.20000000000000284</v>
      </c>
      <c r="J85" s="172"/>
      <c r="K85" s="172">
        <f t="shared" si="13"/>
        <v>9.2161777760633223E-2</v>
      </c>
      <c r="L85" s="172"/>
      <c r="M85" s="107">
        <f>IF(D$18=Data!E$3,H85,IF(D$18=Data!E$4,K85,H85+K85))</f>
        <v>0.14152261623449167</v>
      </c>
      <c r="O85" s="69">
        <f t="shared" si="6"/>
        <v>0</v>
      </c>
      <c r="P85" s="72"/>
      <c r="Q85" s="69">
        <f t="shared" si="7"/>
        <v>319</v>
      </c>
    </row>
    <row r="86" spans="1:17">
      <c r="A86" s="72">
        <f t="shared" si="14"/>
        <v>0</v>
      </c>
      <c r="B86" s="69">
        <f>IF(D$20=Data!F$4,"",IF(A86=0,0,+B85+E$15*E$4*2))</f>
        <v>0</v>
      </c>
      <c r="C86" s="69">
        <f>IF(D$20=Data!F$4,"",IF(A86=0,0,+C85+E$15*E$4*2))</f>
        <v>0</v>
      </c>
      <c r="D86" s="112">
        <f>IF(D$20=Data!F$4,'Step 4 Stage Discharge'!P86,IF(A86&gt;=E$7-E$8,C85*B85*E$15+E$4*E$15^2*(B85+C85)+1/3*(2*E$15*E$4)^2*E$15,0))</f>
        <v>0</v>
      </c>
      <c r="E86" s="112">
        <f t="shared" si="5"/>
        <v>470.44800000000004</v>
      </c>
      <c r="F86" s="113">
        <f t="shared" si="9"/>
        <v>0.9</v>
      </c>
      <c r="G86" s="113">
        <f t="shared" si="10"/>
        <v>0.86499999999999999</v>
      </c>
      <c r="H86" s="172">
        <f t="shared" si="11"/>
        <v>0.14152261623449167</v>
      </c>
      <c r="I86" s="172">
        <f t="shared" si="12"/>
        <v>0.20000000000000284</v>
      </c>
      <c r="J86" s="172"/>
      <c r="K86" s="172">
        <f t="shared" si="13"/>
        <v>9.2161777760633223E-2</v>
      </c>
      <c r="L86" s="172"/>
      <c r="M86" s="107">
        <f>IF(D$18=Data!E$3,H86,IF(D$18=Data!E$4,K86,H86+K86))</f>
        <v>0.14152261623449167</v>
      </c>
      <c r="O86" s="69">
        <f t="shared" si="6"/>
        <v>0</v>
      </c>
      <c r="P86" s="72"/>
      <c r="Q86" s="69">
        <f t="shared" si="7"/>
        <v>319</v>
      </c>
    </row>
    <row r="87" spans="1:17">
      <c r="A87" s="72">
        <f t="shared" si="14"/>
        <v>0</v>
      </c>
      <c r="B87" s="69">
        <f>IF(D$20=Data!F$4,"",IF(A87=0,0,+B86+E$15*E$4*2))</f>
        <v>0</v>
      </c>
      <c r="C87" s="69">
        <f>IF(D$20=Data!F$4,"",IF(A87=0,0,+C86+E$15*E$4*2))</f>
        <v>0</v>
      </c>
      <c r="D87" s="112">
        <f>IF(D$20=Data!F$4,'Step 4 Stage Discharge'!P87,IF(A87&gt;=E$7-E$8,C86*B86*E$15+E$4*E$15^2*(B86+C86)+1/3*(2*E$15*E$4)^2*E$15,0))</f>
        <v>0</v>
      </c>
      <c r="E87" s="112">
        <f t="shared" si="5"/>
        <v>470.44800000000004</v>
      </c>
      <c r="F87" s="113">
        <f t="shared" si="9"/>
        <v>0.9</v>
      </c>
      <c r="G87" s="113">
        <f t="shared" si="10"/>
        <v>0.86499999999999999</v>
      </c>
      <c r="H87" s="172">
        <f t="shared" si="11"/>
        <v>0.14152261623449167</v>
      </c>
      <c r="I87" s="172">
        <f t="shared" si="12"/>
        <v>0.20000000000000284</v>
      </c>
      <c r="J87" s="172"/>
      <c r="K87" s="172">
        <f t="shared" si="13"/>
        <v>9.2161777760633223E-2</v>
      </c>
      <c r="L87" s="172"/>
      <c r="M87" s="107">
        <f>IF(D$18=Data!E$3,H87,IF(D$18=Data!E$4,K87,H87+K87))</f>
        <v>0.14152261623449167</v>
      </c>
      <c r="O87" s="69">
        <f t="shared" si="6"/>
        <v>0</v>
      </c>
      <c r="P87" s="72"/>
      <c r="Q87" s="69">
        <f t="shared" si="7"/>
        <v>319</v>
      </c>
    </row>
    <row r="88" spans="1:17">
      <c r="A88" s="72">
        <f t="shared" si="14"/>
        <v>0</v>
      </c>
      <c r="B88" s="69">
        <f>IF(D$20=Data!F$4,"",IF(A88=0,0,+B87+E$15*E$4*2))</f>
        <v>0</v>
      </c>
      <c r="C88" s="69">
        <f>IF(D$20=Data!F$4,"",IF(A88=0,0,+C87+E$15*E$4*2))</f>
        <v>0</v>
      </c>
      <c r="D88" s="112">
        <f>IF(D$20=Data!F$4,'Step 4 Stage Discharge'!P88,IF(A88&gt;=E$7-E$8,C87*B87*E$15+E$4*E$15^2*(B87+C87)+1/3*(2*E$15*E$4)^2*E$15,0))</f>
        <v>0</v>
      </c>
      <c r="E88" s="112">
        <f t="shared" si="5"/>
        <v>470.44800000000004</v>
      </c>
      <c r="F88" s="113">
        <f t="shared" si="9"/>
        <v>0.9</v>
      </c>
      <c r="G88" s="113">
        <f t="shared" si="10"/>
        <v>0.86499999999999999</v>
      </c>
      <c r="H88" s="172">
        <f t="shared" si="11"/>
        <v>0.14152261623449167</v>
      </c>
      <c r="I88" s="172">
        <f t="shared" si="12"/>
        <v>0.20000000000000284</v>
      </c>
      <c r="J88" s="172"/>
      <c r="K88" s="172">
        <f t="shared" si="13"/>
        <v>9.2161777760633223E-2</v>
      </c>
      <c r="L88" s="172"/>
      <c r="M88" s="107">
        <f>IF(D$18=Data!E$3,H88,IF(D$18=Data!E$4,K88,H88+K88))</f>
        <v>0.14152261623449167</v>
      </c>
      <c r="O88" s="69">
        <f t="shared" si="6"/>
        <v>0</v>
      </c>
      <c r="P88" s="72"/>
      <c r="Q88" s="69">
        <f t="shared" si="7"/>
        <v>319</v>
      </c>
    </row>
    <row r="89" spans="1:17">
      <c r="A89" s="72">
        <f t="shared" si="14"/>
        <v>0</v>
      </c>
      <c r="B89" s="69">
        <f>IF(D$20=Data!F$4,"",IF(A89=0,0,+B88+E$15*E$4*2))</f>
        <v>0</v>
      </c>
      <c r="C89" s="69">
        <f>IF(D$20=Data!F$4,"",IF(A89=0,0,+C88+E$15*E$4*2))</f>
        <v>0</v>
      </c>
      <c r="D89" s="112">
        <f>IF(D$20=Data!F$4,'Step 4 Stage Discharge'!P89,IF(A89&gt;=E$7-E$8,C88*B88*E$15+E$4*E$15^2*(B88+C88)+1/3*(2*E$15*E$4)^2*E$15,0))</f>
        <v>0</v>
      </c>
      <c r="E89" s="112">
        <f t="shared" si="5"/>
        <v>470.44800000000004</v>
      </c>
      <c r="F89" s="113">
        <f t="shared" si="9"/>
        <v>0.9</v>
      </c>
      <c r="G89" s="113">
        <f t="shared" si="10"/>
        <v>0.86499999999999999</v>
      </c>
      <c r="H89" s="172">
        <f t="shared" si="11"/>
        <v>0.14152261623449167</v>
      </c>
      <c r="I89" s="172">
        <f t="shared" si="12"/>
        <v>0.20000000000000284</v>
      </c>
      <c r="J89" s="172"/>
      <c r="K89" s="172">
        <f t="shared" si="13"/>
        <v>9.2161777760633223E-2</v>
      </c>
      <c r="L89" s="172"/>
      <c r="M89" s="107">
        <f>IF(D$18=Data!E$3,H89,IF(D$18=Data!E$4,K89,H89+K89))</f>
        <v>0.14152261623449167</v>
      </c>
      <c r="O89" s="69">
        <f t="shared" si="6"/>
        <v>0</v>
      </c>
      <c r="P89" s="72"/>
      <c r="Q89" s="69">
        <f t="shared" si="7"/>
        <v>319</v>
      </c>
    </row>
    <row r="90" spans="1:17">
      <c r="A90" s="72">
        <f t="shared" si="14"/>
        <v>0</v>
      </c>
      <c r="B90" s="69">
        <f>IF(D$20=Data!F$4,"",IF(A90=0,0,+B89+E$15*E$4*2))</f>
        <v>0</v>
      </c>
      <c r="C90" s="69">
        <f>IF(D$20=Data!F$4,"",IF(A90=0,0,+C89+E$15*E$4*2))</f>
        <v>0</v>
      </c>
      <c r="D90" s="112">
        <f>IF(D$20=Data!F$4,'Step 4 Stage Discharge'!P90,IF(A90&gt;=E$7-E$8,C89*B89*E$15+E$4*E$15^2*(B89+C89)+1/3*(2*E$15*E$4)^2*E$15,0))</f>
        <v>0</v>
      </c>
      <c r="E90" s="112">
        <f t="shared" si="5"/>
        <v>470.44800000000004</v>
      </c>
      <c r="F90" s="113">
        <f t="shared" ref="F90:F121" si="15">IF(INT((A90+E$8-E$7)*100)/100&gt;=0,ROUND(-E$7+E$8+A90,3),E$8)</f>
        <v>0.9</v>
      </c>
      <c r="G90" s="113">
        <f t="shared" ref="G90:G121" si="16">F90+E$9-K$11-K$13/2</f>
        <v>0.86499999999999999</v>
      </c>
      <c r="H90" s="172">
        <f t="shared" ref="H90:H121" si="17">IF(G90&gt;=K$13/2,K$12*K$14*(2*9.81*G90)^0.5,IF(G90&lt;0,1.38*(A90-K$11)^2.5,2*G90/K$13*K$12*K$14*(2*9.81*G90)^0.5+(1-2*G90/K$13)*1.38*G90^2.5))</f>
        <v>0.14152261623449167</v>
      </c>
      <c r="I90" s="172">
        <f t="shared" ref="I90:I126" si="18">IF(INT(A90+E$8-E$7)*100/100&lt;0,E$7-K$6,IF(A90&lt;=K$6,0,A90-K$6))</f>
        <v>0.20000000000000284</v>
      </c>
      <c r="J90" s="172"/>
      <c r="K90" s="172">
        <f t="shared" ref="K90:K126" si="19">(K$5-0.2*I90)*1.84*(I90)^1.5</f>
        <v>9.2161777760633223E-2</v>
      </c>
      <c r="L90" s="172"/>
      <c r="M90" s="107">
        <f>IF(D$18=Data!E$3,H90,IF(D$18=Data!E$4,K90,H90+K90))</f>
        <v>0.14152261623449167</v>
      </c>
      <c r="O90" s="69">
        <f t="shared" si="6"/>
        <v>0</v>
      </c>
      <c r="P90" s="72"/>
      <c r="Q90" s="69">
        <f t="shared" si="7"/>
        <v>319</v>
      </c>
    </row>
    <row r="91" spans="1:17">
      <c r="A91" s="72">
        <f t="shared" si="14"/>
        <v>0</v>
      </c>
      <c r="B91" s="69">
        <f>IF(D$20=Data!F$4,"",IF(A91=0,0,+B90+E$15*E$4*2))</f>
        <v>0</v>
      </c>
      <c r="C91" s="69">
        <f>IF(D$20=Data!F$4,"",IF(A91=0,0,+C90+E$15*E$4*2))</f>
        <v>0</v>
      </c>
      <c r="D91" s="112">
        <f>IF(D$20=Data!F$4,'Step 4 Stage Discharge'!P91,IF(A91&gt;=E$7-E$8,C90*B90*E$15+E$4*E$15^2*(B90+C90)+1/3*(2*E$15*E$4)^2*E$15,0))</f>
        <v>0</v>
      </c>
      <c r="E91" s="112">
        <f t="shared" ref="E91:E126" si="20">+E90+D91</f>
        <v>470.44800000000004</v>
      </c>
      <c r="F91" s="113">
        <f t="shared" si="15"/>
        <v>0.9</v>
      </c>
      <c r="G91" s="113">
        <f t="shared" si="16"/>
        <v>0.86499999999999999</v>
      </c>
      <c r="H91" s="172">
        <f t="shared" si="17"/>
        <v>0.14152261623449167</v>
      </c>
      <c r="I91" s="172">
        <f t="shared" si="18"/>
        <v>0.20000000000000284</v>
      </c>
      <c r="J91" s="172"/>
      <c r="K91" s="172">
        <f t="shared" si="19"/>
        <v>9.2161777760633223E-2</v>
      </c>
      <c r="L91" s="172"/>
      <c r="M91" s="107">
        <f>IF(D$18=Data!E$3,H91,IF(D$18=Data!E$4,K91,H91+K91))</f>
        <v>0.14152261623449167</v>
      </c>
      <c r="O91" s="69">
        <f t="shared" ref="O91:O126" si="21">+A91</f>
        <v>0</v>
      </c>
      <c r="P91" s="72"/>
      <c r="Q91" s="69">
        <f t="shared" si="7"/>
        <v>319</v>
      </c>
    </row>
    <row r="92" spans="1:17">
      <c r="A92" s="72">
        <f t="shared" si="14"/>
        <v>0</v>
      </c>
      <c r="B92" s="69">
        <f>IF(D$20=Data!F$4,"",IF(A92=0,0,+B91+E$15*E$4*2))</f>
        <v>0</v>
      </c>
      <c r="C92" s="69">
        <f>IF(D$20=Data!F$4,"",IF(A92=0,0,+C91+E$15*E$4*2))</f>
        <v>0</v>
      </c>
      <c r="D92" s="112">
        <f>IF(D$20=Data!F$4,'Step 4 Stage Discharge'!P92,IF(A92&gt;=E$7-E$8,C91*B91*E$15+E$4*E$15^2*(B91+C91)+1/3*(2*E$15*E$4)^2*E$15,0))</f>
        <v>0</v>
      </c>
      <c r="E92" s="112">
        <f t="shared" si="20"/>
        <v>470.44800000000004</v>
      </c>
      <c r="F92" s="113">
        <f t="shared" si="15"/>
        <v>0.9</v>
      </c>
      <c r="G92" s="113">
        <f t="shared" si="16"/>
        <v>0.86499999999999999</v>
      </c>
      <c r="H92" s="172">
        <f t="shared" si="17"/>
        <v>0.14152261623449167</v>
      </c>
      <c r="I92" s="172">
        <f t="shared" si="18"/>
        <v>0.20000000000000284</v>
      </c>
      <c r="J92" s="172"/>
      <c r="K92" s="172">
        <f t="shared" si="19"/>
        <v>9.2161777760633223E-2</v>
      </c>
      <c r="L92" s="172"/>
      <c r="M92" s="107">
        <f>IF(D$18=Data!E$3,H92,IF(D$18=Data!E$4,K92,H92+K92))</f>
        <v>0.14152261623449167</v>
      </c>
      <c r="O92" s="69">
        <f t="shared" si="21"/>
        <v>0</v>
      </c>
      <c r="P92" s="72"/>
      <c r="Q92" s="69">
        <f t="shared" ref="Q92:Q126" si="22">+Q91+P92</f>
        <v>319</v>
      </c>
    </row>
    <row r="93" spans="1:17">
      <c r="A93" s="72">
        <f t="shared" si="14"/>
        <v>0</v>
      </c>
      <c r="B93" s="69">
        <f>IF(D$20=Data!F$4,"",IF(A93=0,0,+B92+E$15*E$4*2))</f>
        <v>0</v>
      </c>
      <c r="C93" s="69">
        <f>IF(D$20=Data!F$4,"",IF(A93=0,0,+C92+E$15*E$4*2))</f>
        <v>0</v>
      </c>
      <c r="D93" s="112">
        <f>IF(D$20=Data!F$4,'Step 4 Stage Discharge'!P93,IF(A93&gt;=E$7-E$8,C92*B92*E$15+E$4*E$15^2*(B92+C92)+1/3*(2*E$15*E$4)^2*E$15,0))</f>
        <v>0</v>
      </c>
      <c r="E93" s="112">
        <f t="shared" si="20"/>
        <v>470.44800000000004</v>
      </c>
      <c r="F93" s="113">
        <f t="shared" si="15"/>
        <v>0.9</v>
      </c>
      <c r="G93" s="113">
        <f t="shared" si="16"/>
        <v>0.86499999999999999</v>
      </c>
      <c r="H93" s="172">
        <f t="shared" si="17"/>
        <v>0.14152261623449167</v>
      </c>
      <c r="I93" s="172">
        <f t="shared" si="18"/>
        <v>0.20000000000000284</v>
      </c>
      <c r="J93" s="172"/>
      <c r="K93" s="172">
        <f t="shared" si="19"/>
        <v>9.2161777760633223E-2</v>
      </c>
      <c r="L93" s="172"/>
      <c r="M93" s="107">
        <f>IF(D$18=Data!E$3,H93,IF(D$18=Data!E$4,K93,H93+K93))</f>
        <v>0.14152261623449167</v>
      </c>
      <c r="O93" s="69">
        <f t="shared" si="21"/>
        <v>0</v>
      </c>
      <c r="P93" s="72"/>
      <c r="Q93" s="69">
        <f t="shared" si="22"/>
        <v>319</v>
      </c>
    </row>
    <row r="94" spans="1:17">
      <c r="A94" s="72">
        <f t="shared" si="14"/>
        <v>0</v>
      </c>
      <c r="B94" s="69">
        <f>IF(D$20=Data!F$4,"",IF(A94=0,0,+B93+E$15*E$4*2))</f>
        <v>0</v>
      </c>
      <c r="C94" s="69">
        <f>IF(D$20=Data!F$4,"",IF(A94=0,0,+C93+E$15*E$4*2))</f>
        <v>0</v>
      </c>
      <c r="D94" s="112">
        <f>IF(D$20=Data!F$4,'Step 4 Stage Discharge'!P94,IF(A94&gt;=E$7-E$8,C93*B93*E$15+E$4*E$15^2*(B93+C93)+1/3*(2*E$15*E$4)^2*E$15,0))</f>
        <v>0</v>
      </c>
      <c r="E94" s="112">
        <f t="shared" si="20"/>
        <v>470.44800000000004</v>
      </c>
      <c r="F94" s="113">
        <f t="shared" si="15"/>
        <v>0.9</v>
      </c>
      <c r="G94" s="113">
        <f t="shared" si="16"/>
        <v>0.86499999999999999</v>
      </c>
      <c r="H94" s="172">
        <f t="shared" si="17"/>
        <v>0.14152261623449167</v>
      </c>
      <c r="I94" s="172">
        <f t="shared" si="18"/>
        <v>0.20000000000000284</v>
      </c>
      <c r="J94" s="172"/>
      <c r="K94" s="172">
        <f t="shared" si="19"/>
        <v>9.2161777760633223E-2</v>
      </c>
      <c r="L94" s="172"/>
      <c r="M94" s="107">
        <f>IF(D$18=Data!E$3,H94,IF(D$18=Data!E$4,K94,H94+K94))</f>
        <v>0.14152261623449167</v>
      </c>
      <c r="O94" s="69">
        <f t="shared" si="21"/>
        <v>0</v>
      </c>
      <c r="P94" s="72"/>
      <c r="Q94" s="69">
        <f t="shared" si="22"/>
        <v>319</v>
      </c>
    </row>
    <row r="95" spans="1:17">
      <c r="A95" s="72">
        <f t="shared" si="14"/>
        <v>0</v>
      </c>
      <c r="B95" s="69">
        <f>IF(D$20=Data!F$4,"",IF(A95=0,0,+B94+E$15*E$4*2))</f>
        <v>0</v>
      </c>
      <c r="C95" s="69">
        <f>IF(D$20=Data!F$4,"",IF(A95=0,0,+C94+E$15*E$4*2))</f>
        <v>0</v>
      </c>
      <c r="D95" s="112">
        <f>IF(D$20=Data!F$4,'Step 4 Stage Discharge'!P95,IF(A95&gt;=E$7-E$8,C94*B94*E$15+E$4*E$15^2*(B94+C94)+1/3*(2*E$15*E$4)^2*E$15,0))</f>
        <v>0</v>
      </c>
      <c r="E95" s="112">
        <f t="shared" si="20"/>
        <v>470.44800000000004</v>
      </c>
      <c r="F95" s="113">
        <f t="shared" si="15"/>
        <v>0.9</v>
      </c>
      <c r="G95" s="113">
        <f t="shared" si="16"/>
        <v>0.86499999999999999</v>
      </c>
      <c r="H95" s="172">
        <f t="shared" si="17"/>
        <v>0.14152261623449167</v>
      </c>
      <c r="I95" s="172">
        <f t="shared" si="18"/>
        <v>0.20000000000000284</v>
      </c>
      <c r="J95" s="172"/>
      <c r="K95" s="172">
        <f t="shared" si="19"/>
        <v>9.2161777760633223E-2</v>
      </c>
      <c r="L95" s="172"/>
      <c r="M95" s="107">
        <f>IF(D$18=Data!E$3,H95,IF(D$18=Data!E$4,K95,H95+K95))</f>
        <v>0.14152261623449167</v>
      </c>
      <c r="O95" s="69">
        <f t="shared" si="21"/>
        <v>0</v>
      </c>
      <c r="P95" s="72"/>
      <c r="Q95" s="69">
        <f t="shared" si="22"/>
        <v>319</v>
      </c>
    </row>
    <row r="96" spans="1:17">
      <c r="A96" s="72">
        <f t="shared" si="14"/>
        <v>0</v>
      </c>
      <c r="B96" s="69">
        <f>IF(D$20=Data!F$4,"",IF(A96=0,0,+B95+E$15*E$4*2))</f>
        <v>0</v>
      </c>
      <c r="C96" s="69">
        <f>IF(D$20=Data!F$4,"",IF(A96=0,0,+C95+E$15*E$4*2))</f>
        <v>0</v>
      </c>
      <c r="D96" s="112">
        <f>IF(D$20=Data!F$4,'Step 4 Stage Discharge'!P96,IF(A96&gt;=E$7-E$8,C95*B95*E$15+E$4*E$15^2*(B95+C95)+1/3*(2*E$15*E$4)^2*E$15,0))</f>
        <v>0</v>
      </c>
      <c r="E96" s="112">
        <f t="shared" si="20"/>
        <v>470.44800000000004</v>
      </c>
      <c r="F96" s="113">
        <f t="shared" si="15"/>
        <v>0.9</v>
      </c>
      <c r="G96" s="113">
        <f t="shared" si="16"/>
        <v>0.86499999999999999</v>
      </c>
      <c r="H96" s="172">
        <f t="shared" si="17"/>
        <v>0.14152261623449167</v>
      </c>
      <c r="I96" s="172">
        <f t="shared" si="18"/>
        <v>0.20000000000000284</v>
      </c>
      <c r="J96" s="172"/>
      <c r="K96" s="172">
        <f t="shared" si="19"/>
        <v>9.2161777760633223E-2</v>
      </c>
      <c r="L96" s="172"/>
      <c r="M96" s="107">
        <f>IF(D$18=Data!E$3,H96,IF(D$18=Data!E$4,K96,H96+K96))</f>
        <v>0.14152261623449167</v>
      </c>
      <c r="O96" s="69">
        <f t="shared" si="21"/>
        <v>0</v>
      </c>
      <c r="P96" s="72"/>
      <c r="Q96" s="69">
        <f t="shared" si="22"/>
        <v>319</v>
      </c>
    </row>
    <row r="97" spans="1:17">
      <c r="A97" s="72">
        <f t="shared" si="14"/>
        <v>0</v>
      </c>
      <c r="B97" s="69">
        <f>IF(D$20=Data!F$4,"",IF(A97=0,0,+B96+E$15*E$4*2))</f>
        <v>0</v>
      </c>
      <c r="C97" s="69">
        <f>IF(D$20=Data!F$4,"",IF(A97=0,0,+C96+E$15*E$4*2))</f>
        <v>0</v>
      </c>
      <c r="D97" s="112">
        <f>IF(D$20=Data!F$4,'Step 4 Stage Discharge'!P97,IF(A97&gt;=E$7-E$8,C96*B96*E$15+E$4*E$15^2*(B96+C96)+1/3*(2*E$15*E$4)^2*E$15,0))</f>
        <v>0</v>
      </c>
      <c r="E97" s="112">
        <f t="shared" si="20"/>
        <v>470.44800000000004</v>
      </c>
      <c r="F97" s="113">
        <f t="shared" si="15"/>
        <v>0.9</v>
      </c>
      <c r="G97" s="113">
        <f t="shared" si="16"/>
        <v>0.86499999999999999</v>
      </c>
      <c r="H97" s="172">
        <f t="shared" si="17"/>
        <v>0.14152261623449167</v>
      </c>
      <c r="I97" s="172">
        <f t="shared" si="18"/>
        <v>0.20000000000000284</v>
      </c>
      <c r="J97" s="172"/>
      <c r="K97" s="172">
        <f t="shared" si="19"/>
        <v>9.2161777760633223E-2</v>
      </c>
      <c r="L97" s="172"/>
      <c r="M97" s="107">
        <f>IF(D$18=Data!E$3,H97,IF(D$18=Data!E$4,K97,H97+K97))</f>
        <v>0.14152261623449167</v>
      </c>
      <c r="O97" s="69">
        <f t="shared" si="21"/>
        <v>0</v>
      </c>
      <c r="P97" s="72"/>
      <c r="Q97" s="69">
        <f t="shared" si="22"/>
        <v>319</v>
      </c>
    </row>
    <row r="98" spans="1:17">
      <c r="A98" s="72">
        <f t="shared" ref="A98:A126" si="23">IF(AND(ROUND(A97,3)&lt;E$7,A97&gt;=A$26),A97+E$15,0)</f>
        <v>0</v>
      </c>
      <c r="B98" s="69">
        <f>IF(D$20=Data!F$4,"",IF(A98=0,0,+B97+E$15*E$4*2))</f>
        <v>0</v>
      </c>
      <c r="C98" s="69">
        <f>IF(D$20=Data!F$4,"",IF(A98=0,0,+C97+E$15*E$4*2))</f>
        <v>0</v>
      </c>
      <c r="D98" s="112">
        <f>IF(D$20=Data!F$4,'Step 4 Stage Discharge'!P98,IF(A98&gt;=E$7-E$8,C97*B97*E$15+E$4*E$15^2*(B97+C97)+1/3*(2*E$15*E$4)^2*E$15,0))</f>
        <v>0</v>
      </c>
      <c r="E98" s="112">
        <f t="shared" si="20"/>
        <v>470.44800000000004</v>
      </c>
      <c r="F98" s="113">
        <f t="shared" si="15"/>
        <v>0.9</v>
      </c>
      <c r="G98" s="113">
        <f t="shared" si="16"/>
        <v>0.86499999999999999</v>
      </c>
      <c r="H98" s="172">
        <f t="shared" si="17"/>
        <v>0.14152261623449167</v>
      </c>
      <c r="I98" s="172">
        <f t="shared" si="18"/>
        <v>0.20000000000000284</v>
      </c>
      <c r="J98" s="172"/>
      <c r="K98" s="172">
        <f t="shared" si="19"/>
        <v>9.2161777760633223E-2</v>
      </c>
      <c r="L98" s="172"/>
      <c r="M98" s="107">
        <f>IF(D$18=Data!E$3,H98,IF(D$18=Data!E$4,K98,H98+K98))</f>
        <v>0.14152261623449167</v>
      </c>
      <c r="O98" s="69">
        <f t="shared" si="21"/>
        <v>0</v>
      </c>
      <c r="P98" s="72"/>
      <c r="Q98" s="69">
        <f t="shared" si="22"/>
        <v>319</v>
      </c>
    </row>
    <row r="99" spans="1:17">
      <c r="A99" s="72">
        <f t="shared" si="23"/>
        <v>0</v>
      </c>
      <c r="B99" s="69">
        <f>IF(D$20=Data!F$4,"",IF(A99=0,0,+B98+E$15*E$4*2))</f>
        <v>0</v>
      </c>
      <c r="C99" s="69">
        <f>IF(D$20=Data!F$4,"",IF(A99=0,0,+C98+E$15*E$4*2))</f>
        <v>0</v>
      </c>
      <c r="D99" s="112">
        <f>IF(D$20=Data!F$4,'Step 4 Stage Discharge'!P99,IF(A99&gt;=E$7-E$8,C98*B98*E$15+E$4*E$15^2*(B98+C98)+1/3*(2*E$15*E$4)^2*E$15,0))</f>
        <v>0</v>
      </c>
      <c r="E99" s="112">
        <f t="shared" si="20"/>
        <v>470.44800000000004</v>
      </c>
      <c r="F99" s="113">
        <f t="shared" si="15"/>
        <v>0.9</v>
      </c>
      <c r="G99" s="113">
        <f t="shared" si="16"/>
        <v>0.86499999999999999</v>
      </c>
      <c r="H99" s="172">
        <f t="shared" si="17"/>
        <v>0.14152261623449167</v>
      </c>
      <c r="I99" s="172">
        <f t="shared" si="18"/>
        <v>0.20000000000000284</v>
      </c>
      <c r="J99" s="172"/>
      <c r="K99" s="172">
        <f t="shared" si="19"/>
        <v>9.2161777760633223E-2</v>
      </c>
      <c r="L99" s="172"/>
      <c r="M99" s="107">
        <f>IF(D$18=Data!E$3,H99,IF(D$18=Data!E$4,K99,H99+K99))</f>
        <v>0.14152261623449167</v>
      </c>
      <c r="O99" s="69">
        <f t="shared" si="21"/>
        <v>0</v>
      </c>
      <c r="P99" s="72"/>
      <c r="Q99" s="69">
        <f t="shared" si="22"/>
        <v>319</v>
      </c>
    </row>
    <row r="100" spans="1:17">
      <c r="A100" s="72">
        <f t="shared" si="23"/>
        <v>0</v>
      </c>
      <c r="B100" s="69">
        <f>IF(D$20=Data!F$4,"",IF(A100=0,0,+B99+E$15*E$4*2))</f>
        <v>0</v>
      </c>
      <c r="C100" s="69">
        <f>IF(D$20=Data!F$4,"",IF(A100=0,0,+C99+E$15*E$4*2))</f>
        <v>0</v>
      </c>
      <c r="D100" s="112">
        <f>IF(D$20=Data!F$4,'Step 4 Stage Discharge'!P100,IF(A100&gt;=E$7-E$8,C99*B99*E$15+E$4*E$15^2*(B99+C99)+1/3*(2*E$15*E$4)^2*E$15,0))</f>
        <v>0</v>
      </c>
      <c r="E100" s="112">
        <f t="shared" si="20"/>
        <v>470.44800000000004</v>
      </c>
      <c r="F100" s="113">
        <f t="shared" si="15"/>
        <v>0.9</v>
      </c>
      <c r="G100" s="113">
        <f t="shared" si="16"/>
        <v>0.86499999999999999</v>
      </c>
      <c r="H100" s="172">
        <f t="shared" si="17"/>
        <v>0.14152261623449167</v>
      </c>
      <c r="I100" s="172">
        <f t="shared" si="18"/>
        <v>0.20000000000000284</v>
      </c>
      <c r="J100" s="172"/>
      <c r="K100" s="172">
        <f t="shared" si="19"/>
        <v>9.2161777760633223E-2</v>
      </c>
      <c r="L100" s="172"/>
      <c r="M100" s="107">
        <f>IF(D$18=Data!E$3,H100,IF(D$18=Data!E$4,K100,H100+K100))</f>
        <v>0.14152261623449167</v>
      </c>
      <c r="O100" s="69">
        <f t="shared" si="21"/>
        <v>0</v>
      </c>
      <c r="P100" s="72"/>
      <c r="Q100" s="69">
        <f t="shared" si="22"/>
        <v>319</v>
      </c>
    </row>
    <row r="101" spans="1:17">
      <c r="A101" s="72">
        <f t="shared" si="23"/>
        <v>0</v>
      </c>
      <c r="B101" s="69">
        <f>IF(D$20=Data!F$4,"",IF(A101=0,0,+B100+E$15*E$4*2))</f>
        <v>0</v>
      </c>
      <c r="C101" s="69">
        <f>IF(D$20=Data!F$4,"",IF(A101=0,0,+C100+E$15*E$4*2))</f>
        <v>0</v>
      </c>
      <c r="D101" s="112">
        <f>IF(D$20=Data!F$4,'Step 4 Stage Discharge'!P101,IF(A101&gt;=E$7-E$8,C100*B100*E$15+E$4*E$15^2*(B100+C100)+1/3*(2*E$15*E$4)^2*E$15,0))</f>
        <v>0</v>
      </c>
      <c r="E101" s="112">
        <f t="shared" si="20"/>
        <v>470.44800000000004</v>
      </c>
      <c r="F101" s="113">
        <f t="shared" si="15"/>
        <v>0.9</v>
      </c>
      <c r="G101" s="113">
        <f t="shared" si="16"/>
        <v>0.86499999999999999</v>
      </c>
      <c r="H101" s="172">
        <f t="shared" si="17"/>
        <v>0.14152261623449167</v>
      </c>
      <c r="I101" s="172">
        <f t="shared" si="18"/>
        <v>0.20000000000000284</v>
      </c>
      <c r="J101" s="172"/>
      <c r="K101" s="172">
        <f t="shared" si="19"/>
        <v>9.2161777760633223E-2</v>
      </c>
      <c r="L101" s="172"/>
      <c r="M101" s="107">
        <f>IF(D$18=Data!E$3,H101,IF(D$18=Data!E$4,K101,H101+K101))</f>
        <v>0.14152261623449167</v>
      </c>
      <c r="O101" s="69">
        <f t="shared" si="21"/>
        <v>0</v>
      </c>
      <c r="P101" s="72"/>
      <c r="Q101" s="69">
        <f t="shared" si="22"/>
        <v>319</v>
      </c>
    </row>
    <row r="102" spans="1:17">
      <c r="A102" s="72">
        <f t="shared" si="23"/>
        <v>0</v>
      </c>
      <c r="B102" s="69">
        <f>IF(D$20=Data!F$4,"",IF(A102=0,0,+B101+E$15*E$4*2))</f>
        <v>0</v>
      </c>
      <c r="C102" s="69">
        <f>IF(D$20=Data!F$4,"",IF(A102=0,0,+C101+E$15*E$4*2))</f>
        <v>0</v>
      </c>
      <c r="D102" s="112">
        <f>IF(D$20=Data!F$4,'Step 4 Stage Discharge'!P102,IF(A102&gt;=E$7-E$8,C101*B101*E$15+E$4*E$15^2*(B101+C101)+1/3*(2*E$15*E$4)^2*E$15,0))</f>
        <v>0</v>
      </c>
      <c r="E102" s="112">
        <f t="shared" si="20"/>
        <v>470.44800000000004</v>
      </c>
      <c r="F102" s="113">
        <f t="shared" si="15"/>
        <v>0.9</v>
      </c>
      <c r="G102" s="113">
        <f t="shared" si="16"/>
        <v>0.86499999999999999</v>
      </c>
      <c r="H102" s="172">
        <f t="shared" si="17"/>
        <v>0.14152261623449167</v>
      </c>
      <c r="I102" s="172">
        <f t="shared" si="18"/>
        <v>0.20000000000000284</v>
      </c>
      <c r="J102" s="172"/>
      <c r="K102" s="172">
        <f t="shared" si="19"/>
        <v>9.2161777760633223E-2</v>
      </c>
      <c r="L102" s="172"/>
      <c r="M102" s="107">
        <f>IF(D$18=Data!E$3,H102,IF(D$18=Data!E$4,K102,H102+K102))</f>
        <v>0.14152261623449167</v>
      </c>
      <c r="O102" s="69">
        <f t="shared" si="21"/>
        <v>0</v>
      </c>
      <c r="P102" s="72"/>
      <c r="Q102" s="69">
        <f t="shared" si="22"/>
        <v>319</v>
      </c>
    </row>
    <row r="103" spans="1:17">
      <c r="A103" s="72">
        <f t="shared" si="23"/>
        <v>0</v>
      </c>
      <c r="B103" s="69">
        <f>IF(D$20=Data!F$4,"",IF(A103=0,0,+B102+E$15*E$4*2))</f>
        <v>0</v>
      </c>
      <c r="C103" s="69">
        <f>IF(D$20=Data!F$4,"",IF(A103=0,0,+C102+E$15*E$4*2))</f>
        <v>0</v>
      </c>
      <c r="D103" s="112">
        <f>IF(D$20=Data!F$4,'Step 4 Stage Discharge'!P103,IF(A103&gt;=E$7-E$8,C102*B102*E$15+E$4*E$15^2*(B102+C102)+1/3*(2*E$15*E$4)^2*E$15,0))</f>
        <v>0</v>
      </c>
      <c r="E103" s="112">
        <f t="shared" si="20"/>
        <v>470.44800000000004</v>
      </c>
      <c r="F103" s="113">
        <f t="shared" si="15"/>
        <v>0.9</v>
      </c>
      <c r="G103" s="113">
        <f t="shared" si="16"/>
        <v>0.86499999999999999</v>
      </c>
      <c r="H103" s="172">
        <f t="shared" si="17"/>
        <v>0.14152261623449167</v>
      </c>
      <c r="I103" s="172">
        <f t="shared" si="18"/>
        <v>0.20000000000000284</v>
      </c>
      <c r="J103" s="172"/>
      <c r="K103" s="172">
        <f t="shared" si="19"/>
        <v>9.2161777760633223E-2</v>
      </c>
      <c r="L103" s="172"/>
      <c r="M103" s="107">
        <f>IF(D$18=Data!E$3,H103,IF(D$18=Data!E$4,K103,H103+K103))</f>
        <v>0.14152261623449167</v>
      </c>
      <c r="O103" s="69">
        <f t="shared" si="21"/>
        <v>0</v>
      </c>
      <c r="P103" s="72"/>
      <c r="Q103" s="69">
        <f t="shared" si="22"/>
        <v>319</v>
      </c>
    </row>
    <row r="104" spans="1:17">
      <c r="A104" s="72">
        <f t="shared" si="23"/>
        <v>0</v>
      </c>
      <c r="B104" s="69">
        <f>IF(D$20=Data!F$4,"",IF(A104=0,0,+B103+E$15*E$4*2))</f>
        <v>0</v>
      </c>
      <c r="C104" s="69">
        <f>IF(D$20=Data!F$4,"",IF(A104=0,0,+C103+E$15*E$4*2))</f>
        <v>0</v>
      </c>
      <c r="D104" s="112">
        <f>IF(D$20=Data!F$4,'Step 4 Stage Discharge'!P104,IF(A104&gt;=E$7-E$8,C103*B103*E$15+E$4*E$15^2*(B103+C103)+1/3*(2*E$15*E$4)^2*E$15,0))</f>
        <v>0</v>
      </c>
      <c r="E104" s="112">
        <f t="shared" si="20"/>
        <v>470.44800000000004</v>
      </c>
      <c r="F104" s="113">
        <f t="shared" si="15"/>
        <v>0.9</v>
      </c>
      <c r="G104" s="113">
        <f t="shared" si="16"/>
        <v>0.86499999999999999</v>
      </c>
      <c r="H104" s="172">
        <f t="shared" si="17"/>
        <v>0.14152261623449167</v>
      </c>
      <c r="I104" s="172">
        <f t="shared" si="18"/>
        <v>0.20000000000000284</v>
      </c>
      <c r="J104" s="172"/>
      <c r="K104" s="172">
        <f t="shared" si="19"/>
        <v>9.2161777760633223E-2</v>
      </c>
      <c r="L104" s="172"/>
      <c r="M104" s="107">
        <f>IF(D$18=Data!E$3,H104,IF(D$18=Data!E$4,K104,H104+K104))</f>
        <v>0.14152261623449167</v>
      </c>
      <c r="O104" s="69">
        <f t="shared" si="21"/>
        <v>0</v>
      </c>
      <c r="P104" s="72"/>
      <c r="Q104" s="69">
        <f t="shared" si="22"/>
        <v>319</v>
      </c>
    </row>
    <row r="105" spans="1:17">
      <c r="A105" s="72">
        <f t="shared" si="23"/>
        <v>0</v>
      </c>
      <c r="B105" s="69">
        <f>IF(D$20=Data!F$4,"",IF(A105=0,0,+B104+E$15*E$4*2))</f>
        <v>0</v>
      </c>
      <c r="C105" s="69">
        <f>IF(D$20=Data!F$4,"",IF(A105=0,0,+C104+E$15*E$4*2))</f>
        <v>0</v>
      </c>
      <c r="D105" s="112">
        <f>IF(D$20=Data!F$4,'Step 4 Stage Discharge'!P105,IF(A105&gt;=E$7-E$8,C104*B104*E$15+E$4*E$15^2*(B104+C104)+1/3*(2*E$15*E$4)^2*E$15,0))</f>
        <v>0</v>
      </c>
      <c r="E105" s="112">
        <f t="shared" si="20"/>
        <v>470.44800000000004</v>
      </c>
      <c r="F105" s="113">
        <f t="shared" si="15"/>
        <v>0.9</v>
      </c>
      <c r="G105" s="113">
        <f t="shared" si="16"/>
        <v>0.86499999999999999</v>
      </c>
      <c r="H105" s="172">
        <f t="shared" si="17"/>
        <v>0.14152261623449167</v>
      </c>
      <c r="I105" s="172">
        <f t="shared" si="18"/>
        <v>0.20000000000000284</v>
      </c>
      <c r="J105" s="172"/>
      <c r="K105" s="172">
        <f t="shared" si="19"/>
        <v>9.2161777760633223E-2</v>
      </c>
      <c r="L105" s="172"/>
      <c r="M105" s="107">
        <f>IF(D$18=Data!E$3,H105,IF(D$18=Data!E$4,K105,H105+K105))</f>
        <v>0.14152261623449167</v>
      </c>
      <c r="O105" s="69">
        <f t="shared" si="21"/>
        <v>0</v>
      </c>
      <c r="P105" s="72"/>
      <c r="Q105" s="69">
        <f t="shared" si="22"/>
        <v>319</v>
      </c>
    </row>
    <row r="106" spans="1:17">
      <c r="A106" s="72">
        <f t="shared" si="23"/>
        <v>0</v>
      </c>
      <c r="B106" s="69">
        <f>IF(D$20=Data!F$4,"",IF(A106=0,0,+B105+E$15*E$4*2))</f>
        <v>0</v>
      </c>
      <c r="C106" s="69">
        <f>IF(D$20=Data!F$4,"",IF(A106=0,0,+C105+E$15*E$4*2))</f>
        <v>0</v>
      </c>
      <c r="D106" s="112">
        <f>IF(D$20=Data!F$4,'Step 4 Stage Discharge'!P106,IF(A106&gt;=E$7-E$8,C105*B105*E$15+E$4*E$15^2*(B105+C105)+1/3*(2*E$15*E$4)^2*E$15,0))</f>
        <v>0</v>
      </c>
      <c r="E106" s="112">
        <f t="shared" si="20"/>
        <v>470.44800000000004</v>
      </c>
      <c r="F106" s="113">
        <f t="shared" si="15"/>
        <v>0.9</v>
      </c>
      <c r="G106" s="113">
        <f t="shared" si="16"/>
        <v>0.86499999999999999</v>
      </c>
      <c r="H106" s="172">
        <f t="shared" si="17"/>
        <v>0.14152261623449167</v>
      </c>
      <c r="I106" s="172">
        <f t="shared" si="18"/>
        <v>0.20000000000000284</v>
      </c>
      <c r="J106" s="172"/>
      <c r="K106" s="172">
        <f t="shared" si="19"/>
        <v>9.2161777760633223E-2</v>
      </c>
      <c r="L106" s="172"/>
      <c r="M106" s="107">
        <f>IF(D$18=Data!E$3,H106,IF(D$18=Data!E$4,K106,H106+K106))</f>
        <v>0.14152261623449167</v>
      </c>
      <c r="O106" s="69">
        <f t="shared" si="21"/>
        <v>0</v>
      </c>
      <c r="P106" s="72"/>
      <c r="Q106" s="69">
        <f t="shared" si="22"/>
        <v>319</v>
      </c>
    </row>
    <row r="107" spans="1:17">
      <c r="A107" s="72">
        <f t="shared" si="23"/>
        <v>0</v>
      </c>
      <c r="B107" s="69">
        <f>IF(D$20=Data!F$4,"",IF(A107=0,0,+B106+E$15*E$4*2))</f>
        <v>0</v>
      </c>
      <c r="C107" s="69">
        <f>IF(D$20=Data!F$4,"",IF(A107=0,0,+C106+E$15*E$4*2))</f>
        <v>0</v>
      </c>
      <c r="D107" s="112">
        <f>IF(D$20=Data!F$4,'Step 4 Stage Discharge'!P107,IF(A107&gt;=E$7-E$8,C106*B106*E$15+E$4*E$15^2*(B106+C106)+1/3*(2*E$15*E$4)^2*E$15,0))</f>
        <v>0</v>
      </c>
      <c r="E107" s="112">
        <f t="shared" si="20"/>
        <v>470.44800000000004</v>
      </c>
      <c r="F107" s="113">
        <f t="shared" si="15"/>
        <v>0.9</v>
      </c>
      <c r="G107" s="113">
        <f t="shared" si="16"/>
        <v>0.86499999999999999</v>
      </c>
      <c r="H107" s="172">
        <f t="shared" si="17"/>
        <v>0.14152261623449167</v>
      </c>
      <c r="I107" s="172">
        <f t="shared" si="18"/>
        <v>0.20000000000000284</v>
      </c>
      <c r="J107" s="172"/>
      <c r="K107" s="172">
        <f t="shared" si="19"/>
        <v>9.2161777760633223E-2</v>
      </c>
      <c r="L107" s="172"/>
      <c r="M107" s="107">
        <f>IF(D$18=Data!E$3,H107,IF(D$18=Data!E$4,K107,H107+K107))</f>
        <v>0.14152261623449167</v>
      </c>
      <c r="O107" s="69">
        <f t="shared" si="21"/>
        <v>0</v>
      </c>
      <c r="P107" s="72"/>
      <c r="Q107" s="69">
        <f t="shared" si="22"/>
        <v>319</v>
      </c>
    </row>
    <row r="108" spans="1:17">
      <c r="A108" s="72">
        <f t="shared" si="23"/>
        <v>0</v>
      </c>
      <c r="B108" s="69">
        <f>IF(D$20=Data!F$4,"",IF(A108=0,0,+B107+E$15*E$4*2))</f>
        <v>0</v>
      </c>
      <c r="C108" s="69">
        <f>IF(D$20=Data!F$4,"",IF(A108=0,0,+C107+E$15*E$4*2))</f>
        <v>0</v>
      </c>
      <c r="D108" s="112">
        <f>IF(D$20=Data!F$4,'Step 4 Stage Discharge'!P108,IF(A108&gt;=E$7-E$8,C107*B107*E$15+E$4*E$15^2*(B107+C107)+1/3*(2*E$15*E$4)^2*E$15,0))</f>
        <v>0</v>
      </c>
      <c r="E108" s="112">
        <f t="shared" si="20"/>
        <v>470.44800000000004</v>
      </c>
      <c r="F108" s="113">
        <f t="shared" si="15"/>
        <v>0.9</v>
      </c>
      <c r="G108" s="113">
        <f t="shared" si="16"/>
        <v>0.86499999999999999</v>
      </c>
      <c r="H108" s="172">
        <f t="shared" si="17"/>
        <v>0.14152261623449167</v>
      </c>
      <c r="I108" s="172">
        <f t="shared" si="18"/>
        <v>0.20000000000000284</v>
      </c>
      <c r="J108" s="172"/>
      <c r="K108" s="172">
        <f t="shared" si="19"/>
        <v>9.2161777760633223E-2</v>
      </c>
      <c r="L108" s="172"/>
      <c r="M108" s="107">
        <f>IF(D$18=Data!E$3,H108,IF(D$18=Data!E$4,K108,H108+K108))</f>
        <v>0.14152261623449167</v>
      </c>
      <c r="O108" s="69">
        <f t="shared" si="21"/>
        <v>0</v>
      </c>
      <c r="P108" s="72"/>
      <c r="Q108" s="69">
        <f t="shared" si="22"/>
        <v>319</v>
      </c>
    </row>
    <row r="109" spans="1:17">
      <c r="A109" s="72">
        <f t="shared" si="23"/>
        <v>0</v>
      </c>
      <c r="B109" s="69">
        <f>IF(D$20=Data!F$4,"",IF(A109=0,0,+B108+E$15*E$4*2))</f>
        <v>0</v>
      </c>
      <c r="C109" s="69">
        <f>IF(D$20=Data!F$4,"",IF(A109=0,0,+C108+E$15*E$4*2))</f>
        <v>0</v>
      </c>
      <c r="D109" s="112">
        <f>IF(D$20=Data!F$4,'Step 4 Stage Discharge'!P109,IF(A109&gt;=E$7-E$8,C108*B108*E$15+E$4*E$15^2*(B108+C108)+1/3*(2*E$15*E$4)^2*E$15,0))</f>
        <v>0</v>
      </c>
      <c r="E109" s="112">
        <f t="shared" si="20"/>
        <v>470.44800000000004</v>
      </c>
      <c r="F109" s="113">
        <f t="shared" si="15"/>
        <v>0.9</v>
      </c>
      <c r="G109" s="113">
        <f t="shared" si="16"/>
        <v>0.86499999999999999</v>
      </c>
      <c r="H109" s="172">
        <f t="shared" si="17"/>
        <v>0.14152261623449167</v>
      </c>
      <c r="I109" s="172">
        <f t="shared" si="18"/>
        <v>0.20000000000000284</v>
      </c>
      <c r="J109" s="172"/>
      <c r="K109" s="172">
        <f t="shared" si="19"/>
        <v>9.2161777760633223E-2</v>
      </c>
      <c r="L109" s="172"/>
      <c r="M109" s="107">
        <f>IF(D$18=Data!E$3,H109,IF(D$18=Data!E$4,K109,H109+K109))</f>
        <v>0.14152261623449167</v>
      </c>
      <c r="O109" s="69">
        <f t="shared" si="21"/>
        <v>0</v>
      </c>
      <c r="P109" s="72"/>
      <c r="Q109" s="69">
        <f t="shared" si="22"/>
        <v>319</v>
      </c>
    </row>
    <row r="110" spans="1:17">
      <c r="A110" s="72">
        <f t="shared" si="23"/>
        <v>0</v>
      </c>
      <c r="B110" s="69">
        <f>IF(D$20=Data!F$4,"",IF(A110=0,0,+B109+E$15*E$4*2))</f>
        <v>0</v>
      </c>
      <c r="C110" s="69">
        <f>IF(D$20=Data!F$4,"",IF(A110=0,0,+C109+E$15*E$4*2))</f>
        <v>0</v>
      </c>
      <c r="D110" s="112">
        <f>IF(D$20=Data!F$4,'Step 4 Stage Discharge'!P110,IF(A110&gt;=E$7-E$8,C109*B109*E$15+E$4*E$15^2*(B109+C109)+1/3*(2*E$15*E$4)^2*E$15,0))</f>
        <v>0</v>
      </c>
      <c r="E110" s="112">
        <f t="shared" si="20"/>
        <v>470.44800000000004</v>
      </c>
      <c r="F110" s="113">
        <f t="shared" si="15"/>
        <v>0.9</v>
      </c>
      <c r="G110" s="113">
        <f t="shared" si="16"/>
        <v>0.86499999999999999</v>
      </c>
      <c r="H110" s="172">
        <f t="shared" si="17"/>
        <v>0.14152261623449167</v>
      </c>
      <c r="I110" s="172">
        <f t="shared" si="18"/>
        <v>0.20000000000000284</v>
      </c>
      <c r="J110" s="172"/>
      <c r="K110" s="172">
        <f t="shared" si="19"/>
        <v>9.2161777760633223E-2</v>
      </c>
      <c r="L110" s="172"/>
      <c r="M110" s="107">
        <f>IF(D$18=Data!E$3,H110,IF(D$18=Data!E$4,K110,H110+K110))</f>
        <v>0.14152261623449167</v>
      </c>
      <c r="O110" s="69">
        <f t="shared" si="21"/>
        <v>0</v>
      </c>
      <c r="P110" s="72"/>
      <c r="Q110" s="69">
        <f t="shared" si="22"/>
        <v>319</v>
      </c>
    </row>
    <row r="111" spans="1:17">
      <c r="A111" s="72">
        <f t="shared" si="23"/>
        <v>0</v>
      </c>
      <c r="B111" s="69">
        <f>IF(D$20=Data!F$4,"",IF(A111=0,0,+B110+E$15*E$4*2))</f>
        <v>0</v>
      </c>
      <c r="C111" s="69">
        <f>IF(D$20=Data!F$4,"",IF(A111=0,0,+C110+E$15*E$4*2))</f>
        <v>0</v>
      </c>
      <c r="D111" s="112">
        <f>IF(D$20=Data!F$4,'Step 4 Stage Discharge'!P111,IF(A111&gt;=E$7-E$8,C110*B110*E$15+E$4*E$15^2*(B110+C110)+1/3*(2*E$15*E$4)^2*E$15,0))</f>
        <v>0</v>
      </c>
      <c r="E111" s="112">
        <f t="shared" si="20"/>
        <v>470.44800000000004</v>
      </c>
      <c r="F111" s="113">
        <f t="shared" si="15"/>
        <v>0.9</v>
      </c>
      <c r="G111" s="113">
        <f t="shared" si="16"/>
        <v>0.86499999999999999</v>
      </c>
      <c r="H111" s="172">
        <f t="shared" si="17"/>
        <v>0.14152261623449167</v>
      </c>
      <c r="I111" s="172">
        <f t="shared" si="18"/>
        <v>0.20000000000000284</v>
      </c>
      <c r="J111" s="172"/>
      <c r="K111" s="172">
        <f t="shared" si="19"/>
        <v>9.2161777760633223E-2</v>
      </c>
      <c r="L111" s="172"/>
      <c r="M111" s="107">
        <f>IF(D$18=Data!E$3,H111,IF(D$18=Data!E$4,K111,H111+K111))</f>
        <v>0.14152261623449167</v>
      </c>
      <c r="O111" s="69">
        <f t="shared" si="21"/>
        <v>0</v>
      </c>
      <c r="P111" s="72"/>
      <c r="Q111" s="69">
        <f t="shared" si="22"/>
        <v>319</v>
      </c>
    </row>
    <row r="112" spans="1:17">
      <c r="A112" s="72">
        <f t="shared" si="23"/>
        <v>0</v>
      </c>
      <c r="B112" s="69">
        <f>IF(D$20=Data!F$4,"",IF(A112=0,0,+B111+E$15*E$4*2))</f>
        <v>0</v>
      </c>
      <c r="C112" s="69">
        <f>IF(D$20=Data!F$4,"",IF(A112=0,0,+C111+E$15*E$4*2))</f>
        <v>0</v>
      </c>
      <c r="D112" s="112">
        <f>IF(D$20=Data!F$4,'Step 4 Stage Discharge'!P112,IF(A112&gt;=E$7-E$8,C111*B111*E$15+E$4*E$15^2*(B111+C111)+1/3*(2*E$15*E$4)^2*E$15,0))</f>
        <v>0</v>
      </c>
      <c r="E112" s="112">
        <f t="shared" si="20"/>
        <v>470.44800000000004</v>
      </c>
      <c r="F112" s="113">
        <f t="shared" si="15"/>
        <v>0.9</v>
      </c>
      <c r="G112" s="113">
        <f t="shared" si="16"/>
        <v>0.86499999999999999</v>
      </c>
      <c r="H112" s="172">
        <f t="shared" si="17"/>
        <v>0.14152261623449167</v>
      </c>
      <c r="I112" s="172">
        <f t="shared" si="18"/>
        <v>0.20000000000000284</v>
      </c>
      <c r="J112" s="172"/>
      <c r="K112" s="172">
        <f t="shared" si="19"/>
        <v>9.2161777760633223E-2</v>
      </c>
      <c r="L112" s="172"/>
      <c r="M112" s="107">
        <f>IF(D$18=Data!E$3,H112,IF(D$18=Data!E$4,K112,H112+K112))</f>
        <v>0.14152261623449167</v>
      </c>
      <c r="O112" s="69">
        <f t="shared" si="21"/>
        <v>0</v>
      </c>
      <c r="P112" s="72"/>
      <c r="Q112" s="69">
        <f t="shared" si="22"/>
        <v>319</v>
      </c>
    </row>
    <row r="113" spans="1:17">
      <c r="A113" s="72">
        <f t="shared" si="23"/>
        <v>0</v>
      </c>
      <c r="B113" s="69">
        <f>IF(D$20=Data!F$4,"",IF(A113=0,0,+B112+E$15*E$4*2))</f>
        <v>0</v>
      </c>
      <c r="C113" s="69">
        <f>IF(D$20=Data!F$4,"",IF(A113=0,0,+C112+E$15*E$4*2))</f>
        <v>0</v>
      </c>
      <c r="D113" s="112">
        <f>IF(D$20=Data!F$4,'Step 4 Stage Discharge'!P113,IF(A113&gt;=E$7-E$8,C112*B112*E$15+E$4*E$15^2*(B112+C112)+1/3*(2*E$15*E$4)^2*E$15,0))</f>
        <v>0</v>
      </c>
      <c r="E113" s="112">
        <f t="shared" si="20"/>
        <v>470.44800000000004</v>
      </c>
      <c r="F113" s="113">
        <f t="shared" si="15"/>
        <v>0.9</v>
      </c>
      <c r="G113" s="113">
        <f t="shared" si="16"/>
        <v>0.86499999999999999</v>
      </c>
      <c r="H113" s="172">
        <f t="shared" si="17"/>
        <v>0.14152261623449167</v>
      </c>
      <c r="I113" s="172">
        <f t="shared" si="18"/>
        <v>0.20000000000000284</v>
      </c>
      <c r="J113" s="172"/>
      <c r="K113" s="172">
        <f t="shared" si="19"/>
        <v>9.2161777760633223E-2</v>
      </c>
      <c r="L113" s="172"/>
      <c r="M113" s="107">
        <f>IF(D$18=Data!E$3,H113,IF(D$18=Data!E$4,K113,H113+K113))</f>
        <v>0.14152261623449167</v>
      </c>
      <c r="O113" s="69">
        <f t="shared" si="21"/>
        <v>0</v>
      </c>
      <c r="P113" s="72"/>
      <c r="Q113" s="69">
        <f t="shared" si="22"/>
        <v>319</v>
      </c>
    </row>
    <row r="114" spans="1:17">
      <c r="A114" s="72">
        <f t="shared" si="23"/>
        <v>0</v>
      </c>
      <c r="B114" s="69">
        <f>IF(D$20=Data!F$4,"",IF(A114=0,0,+B113+E$15*E$4*2))</f>
        <v>0</v>
      </c>
      <c r="C114" s="69">
        <f>IF(D$20=Data!F$4,"",IF(A114=0,0,+C113+E$15*E$4*2))</f>
        <v>0</v>
      </c>
      <c r="D114" s="112">
        <f>IF(D$20=Data!F$4,'Step 4 Stage Discharge'!P114,IF(A114&gt;=E$7-E$8,C113*B113*E$15+E$4*E$15^2*(B113+C113)+1/3*(2*E$15*E$4)^2*E$15,0))</f>
        <v>0</v>
      </c>
      <c r="E114" s="112">
        <f t="shared" si="20"/>
        <v>470.44800000000004</v>
      </c>
      <c r="F114" s="113">
        <f t="shared" si="15"/>
        <v>0.9</v>
      </c>
      <c r="G114" s="113">
        <f t="shared" si="16"/>
        <v>0.86499999999999999</v>
      </c>
      <c r="H114" s="172">
        <f t="shared" si="17"/>
        <v>0.14152261623449167</v>
      </c>
      <c r="I114" s="172">
        <f t="shared" si="18"/>
        <v>0.20000000000000284</v>
      </c>
      <c r="J114" s="172"/>
      <c r="K114" s="172">
        <f t="shared" si="19"/>
        <v>9.2161777760633223E-2</v>
      </c>
      <c r="L114" s="172"/>
      <c r="M114" s="107">
        <f>IF(D$18=Data!E$3,H114,IF(D$18=Data!E$4,K114,H114+K114))</f>
        <v>0.14152261623449167</v>
      </c>
      <c r="O114" s="69">
        <f t="shared" si="21"/>
        <v>0</v>
      </c>
      <c r="P114" s="72"/>
      <c r="Q114" s="69">
        <f t="shared" si="22"/>
        <v>319</v>
      </c>
    </row>
    <row r="115" spans="1:17">
      <c r="A115" s="72">
        <f t="shared" si="23"/>
        <v>0</v>
      </c>
      <c r="B115" s="69">
        <f>IF(D$20=Data!F$4,"",IF(A115=0,0,+B114+E$15*E$4*2))</f>
        <v>0</v>
      </c>
      <c r="C115" s="69">
        <f>IF(D$20=Data!F$4,"",IF(A115=0,0,+C114+E$15*E$4*2))</f>
        <v>0</v>
      </c>
      <c r="D115" s="112">
        <f>IF(D$20=Data!F$4,'Step 4 Stage Discharge'!P115,IF(A115&gt;=E$7-E$8,C114*B114*E$15+E$4*E$15^2*(B114+C114)+1/3*(2*E$15*E$4)^2*E$15,0))</f>
        <v>0</v>
      </c>
      <c r="E115" s="112">
        <f t="shared" si="20"/>
        <v>470.44800000000004</v>
      </c>
      <c r="F115" s="113">
        <f t="shared" si="15"/>
        <v>0.9</v>
      </c>
      <c r="G115" s="113">
        <f t="shared" si="16"/>
        <v>0.86499999999999999</v>
      </c>
      <c r="H115" s="172">
        <f t="shared" si="17"/>
        <v>0.14152261623449167</v>
      </c>
      <c r="I115" s="172">
        <f t="shared" si="18"/>
        <v>0.20000000000000284</v>
      </c>
      <c r="J115" s="172"/>
      <c r="K115" s="172">
        <f t="shared" si="19"/>
        <v>9.2161777760633223E-2</v>
      </c>
      <c r="L115" s="172"/>
      <c r="M115" s="107">
        <f>IF(D$18=Data!E$3,H115,IF(D$18=Data!E$4,K115,H115+K115))</f>
        <v>0.14152261623449167</v>
      </c>
      <c r="O115" s="69">
        <f t="shared" si="21"/>
        <v>0</v>
      </c>
      <c r="P115" s="72"/>
      <c r="Q115" s="69">
        <f t="shared" si="22"/>
        <v>319</v>
      </c>
    </row>
    <row r="116" spans="1:17">
      <c r="A116" s="72">
        <f t="shared" si="23"/>
        <v>0</v>
      </c>
      <c r="B116" s="69">
        <f>IF(D$20=Data!F$4,"",IF(A116=0,0,+B115+E$15*E$4*2))</f>
        <v>0</v>
      </c>
      <c r="C116" s="69">
        <f>IF(D$20=Data!F$4,"",IF(A116=0,0,+C115+E$15*E$4*2))</f>
        <v>0</v>
      </c>
      <c r="D116" s="112">
        <f>IF(D$20=Data!F$4,'Step 4 Stage Discharge'!P116,IF(A116&gt;=E$7-E$8,C115*B115*E$15+E$4*E$15^2*(B115+C115)+1/3*(2*E$15*E$4)^2*E$15,0))</f>
        <v>0</v>
      </c>
      <c r="E116" s="112">
        <f t="shared" si="20"/>
        <v>470.44800000000004</v>
      </c>
      <c r="F116" s="113">
        <f t="shared" si="15"/>
        <v>0.9</v>
      </c>
      <c r="G116" s="113">
        <f t="shared" si="16"/>
        <v>0.86499999999999999</v>
      </c>
      <c r="H116" s="172">
        <f t="shared" si="17"/>
        <v>0.14152261623449167</v>
      </c>
      <c r="I116" s="172">
        <f t="shared" si="18"/>
        <v>0.20000000000000284</v>
      </c>
      <c r="J116" s="172"/>
      <c r="K116" s="172">
        <f t="shared" si="19"/>
        <v>9.2161777760633223E-2</v>
      </c>
      <c r="L116" s="172"/>
      <c r="M116" s="107">
        <f>IF(D$18=Data!E$3,H116,IF(D$18=Data!E$4,K116,H116+K116))</f>
        <v>0.14152261623449167</v>
      </c>
      <c r="O116" s="69">
        <f t="shared" si="21"/>
        <v>0</v>
      </c>
      <c r="P116" s="72"/>
      <c r="Q116" s="69">
        <f t="shared" si="22"/>
        <v>319</v>
      </c>
    </row>
    <row r="117" spans="1:17">
      <c r="A117" s="72">
        <f t="shared" si="23"/>
        <v>0</v>
      </c>
      <c r="B117" s="69">
        <f>IF(D$20=Data!F$4,"",IF(A117=0,0,+B116+E$15*E$4*2))</f>
        <v>0</v>
      </c>
      <c r="C117" s="69">
        <f>IF(D$20=Data!F$4,"",IF(A117=0,0,+C116+E$15*E$4*2))</f>
        <v>0</v>
      </c>
      <c r="D117" s="112">
        <f>IF(D$20=Data!F$4,'Step 4 Stage Discharge'!P117,IF(A117&gt;=E$7-E$8,C116*B116*E$15+E$4*E$15^2*(B116+C116)+1/3*(2*E$15*E$4)^2*E$15,0))</f>
        <v>0</v>
      </c>
      <c r="E117" s="112">
        <f t="shared" si="20"/>
        <v>470.44800000000004</v>
      </c>
      <c r="F117" s="113">
        <f t="shared" si="15"/>
        <v>0.9</v>
      </c>
      <c r="G117" s="113">
        <f t="shared" si="16"/>
        <v>0.86499999999999999</v>
      </c>
      <c r="H117" s="172">
        <f t="shared" si="17"/>
        <v>0.14152261623449167</v>
      </c>
      <c r="I117" s="172">
        <f t="shared" si="18"/>
        <v>0.20000000000000284</v>
      </c>
      <c r="J117" s="172"/>
      <c r="K117" s="172">
        <f t="shared" si="19"/>
        <v>9.2161777760633223E-2</v>
      </c>
      <c r="L117" s="172"/>
      <c r="M117" s="107">
        <f>IF(D$18=Data!E$3,H117,IF(D$18=Data!E$4,K117,H117+K117))</f>
        <v>0.14152261623449167</v>
      </c>
      <c r="O117" s="69">
        <f t="shared" si="21"/>
        <v>0</v>
      </c>
      <c r="P117" s="72"/>
      <c r="Q117" s="69">
        <f t="shared" si="22"/>
        <v>319</v>
      </c>
    </row>
    <row r="118" spans="1:17">
      <c r="A118" s="72">
        <f t="shared" si="23"/>
        <v>0</v>
      </c>
      <c r="B118" s="69">
        <f>IF(D$20=Data!F$4,"",IF(A118=0,0,+B117+E$15*E$4*2))</f>
        <v>0</v>
      </c>
      <c r="C118" s="69">
        <f>IF(D$20=Data!F$4,"",IF(A118=0,0,+C117+E$15*E$4*2))</f>
        <v>0</v>
      </c>
      <c r="D118" s="112">
        <f>IF(D$20=Data!F$4,'Step 4 Stage Discharge'!P118,IF(A118&gt;=E$7-E$8,C117*B117*E$15+E$4*E$15^2*(B117+C117)+1/3*(2*E$15*E$4)^2*E$15,0))</f>
        <v>0</v>
      </c>
      <c r="E118" s="112">
        <f t="shared" si="20"/>
        <v>470.44800000000004</v>
      </c>
      <c r="F118" s="113">
        <f t="shared" si="15"/>
        <v>0.9</v>
      </c>
      <c r="G118" s="113">
        <f t="shared" si="16"/>
        <v>0.86499999999999999</v>
      </c>
      <c r="H118" s="172">
        <f t="shared" si="17"/>
        <v>0.14152261623449167</v>
      </c>
      <c r="I118" s="172">
        <f t="shared" si="18"/>
        <v>0.20000000000000284</v>
      </c>
      <c r="J118" s="172"/>
      <c r="K118" s="172">
        <f t="shared" si="19"/>
        <v>9.2161777760633223E-2</v>
      </c>
      <c r="L118" s="172"/>
      <c r="M118" s="107">
        <f>IF(D$18=Data!E$3,H118,IF(D$18=Data!E$4,K118,H118+K118))</f>
        <v>0.14152261623449167</v>
      </c>
      <c r="O118" s="69">
        <f t="shared" si="21"/>
        <v>0</v>
      </c>
      <c r="P118" s="72"/>
      <c r="Q118" s="69">
        <f t="shared" si="22"/>
        <v>319</v>
      </c>
    </row>
    <row r="119" spans="1:17">
      <c r="A119" s="72">
        <f t="shared" si="23"/>
        <v>0</v>
      </c>
      <c r="B119" s="69">
        <f>IF(D$20=Data!F$4,"",IF(A119=0,0,+B118+E$15*E$4*2))</f>
        <v>0</v>
      </c>
      <c r="C119" s="69">
        <f>IF(D$20=Data!F$4,"",IF(A119=0,0,+C118+E$15*E$4*2))</f>
        <v>0</v>
      </c>
      <c r="D119" s="112">
        <f>IF(D$20=Data!F$4,'Step 4 Stage Discharge'!P119,IF(A119&gt;=E$7-E$8,C118*B118*E$15+E$4*E$15^2*(B118+C118)+1/3*(2*E$15*E$4)^2*E$15,0))</f>
        <v>0</v>
      </c>
      <c r="E119" s="112">
        <f t="shared" si="20"/>
        <v>470.44800000000004</v>
      </c>
      <c r="F119" s="113">
        <f t="shared" si="15"/>
        <v>0.9</v>
      </c>
      <c r="G119" s="113">
        <f t="shared" si="16"/>
        <v>0.86499999999999999</v>
      </c>
      <c r="H119" s="172">
        <f t="shared" si="17"/>
        <v>0.14152261623449167</v>
      </c>
      <c r="I119" s="172">
        <f t="shared" si="18"/>
        <v>0.20000000000000284</v>
      </c>
      <c r="J119" s="172"/>
      <c r="K119" s="172">
        <f t="shared" si="19"/>
        <v>9.2161777760633223E-2</v>
      </c>
      <c r="L119" s="172"/>
      <c r="M119" s="107">
        <f>IF(D$18=Data!E$3,H119,IF(D$18=Data!E$4,K119,H119+K119))</f>
        <v>0.14152261623449167</v>
      </c>
      <c r="O119" s="69">
        <f t="shared" si="21"/>
        <v>0</v>
      </c>
      <c r="P119" s="72"/>
      <c r="Q119" s="69">
        <f t="shared" si="22"/>
        <v>319</v>
      </c>
    </row>
    <row r="120" spans="1:17">
      <c r="A120" s="72">
        <f t="shared" si="23"/>
        <v>0</v>
      </c>
      <c r="B120" s="69">
        <f>IF(D$20=Data!F$4,"",IF(A120=0,0,+B119+E$15*E$4*2))</f>
        <v>0</v>
      </c>
      <c r="C120" s="69">
        <f>IF(D$20=Data!F$4,"",IF(A120=0,0,+C119+E$15*E$4*2))</f>
        <v>0</v>
      </c>
      <c r="D120" s="112">
        <f>IF(D$20=Data!F$4,'Step 4 Stage Discharge'!P120,IF(A120&gt;=E$7-E$8,C119*B119*E$15+E$4*E$15^2*(B119+C119)+1/3*(2*E$15*E$4)^2*E$15,0))</f>
        <v>0</v>
      </c>
      <c r="E120" s="112">
        <f t="shared" si="20"/>
        <v>470.44800000000004</v>
      </c>
      <c r="F120" s="113">
        <f t="shared" si="15"/>
        <v>0.9</v>
      </c>
      <c r="G120" s="113">
        <f t="shared" si="16"/>
        <v>0.86499999999999999</v>
      </c>
      <c r="H120" s="172">
        <f t="shared" si="17"/>
        <v>0.14152261623449167</v>
      </c>
      <c r="I120" s="172">
        <f t="shared" si="18"/>
        <v>0.20000000000000284</v>
      </c>
      <c r="J120" s="172"/>
      <c r="K120" s="172">
        <f t="shared" si="19"/>
        <v>9.2161777760633223E-2</v>
      </c>
      <c r="L120" s="172"/>
      <c r="M120" s="107">
        <f>IF(D$18=Data!E$3,H120,IF(D$18=Data!E$4,K120,H120+K120))</f>
        <v>0.14152261623449167</v>
      </c>
      <c r="O120" s="69">
        <f t="shared" si="21"/>
        <v>0</v>
      </c>
      <c r="P120" s="72"/>
      <c r="Q120" s="69">
        <f t="shared" si="22"/>
        <v>319</v>
      </c>
    </row>
    <row r="121" spans="1:17">
      <c r="A121" s="72">
        <f t="shared" si="23"/>
        <v>0</v>
      </c>
      <c r="B121" s="69">
        <f>IF(D$20=Data!F$4,"",IF(A121=0,0,+B120+E$15*E$4*2))</f>
        <v>0</v>
      </c>
      <c r="C121" s="69">
        <f>IF(D$20=Data!F$4,"",IF(A121=0,0,+C120+E$15*E$4*2))</f>
        <v>0</v>
      </c>
      <c r="D121" s="112">
        <f>IF(D$20=Data!F$4,'Step 4 Stage Discharge'!P121,IF(A121&gt;=E$7-E$8,C120*B120*E$15+E$4*E$15^2*(B120+C120)+1/3*(2*E$15*E$4)^2*E$15,0))</f>
        <v>0</v>
      </c>
      <c r="E121" s="112">
        <f t="shared" si="20"/>
        <v>470.44800000000004</v>
      </c>
      <c r="F121" s="113">
        <f t="shared" si="15"/>
        <v>0.9</v>
      </c>
      <c r="G121" s="113">
        <f t="shared" si="16"/>
        <v>0.86499999999999999</v>
      </c>
      <c r="H121" s="172">
        <f t="shared" si="17"/>
        <v>0.14152261623449167</v>
      </c>
      <c r="I121" s="172">
        <f t="shared" si="18"/>
        <v>0.20000000000000284</v>
      </c>
      <c r="J121" s="172"/>
      <c r="K121" s="172">
        <f t="shared" si="19"/>
        <v>9.2161777760633223E-2</v>
      </c>
      <c r="L121" s="172"/>
      <c r="M121" s="107">
        <f>IF(D$18=Data!E$3,H121,IF(D$18=Data!E$4,K121,H121+K121))</f>
        <v>0.14152261623449167</v>
      </c>
      <c r="O121" s="69">
        <f t="shared" si="21"/>
        <v>0</v>
      </c>
      <c r="P121" s="72"/>
      <c r="Q121" s="69">
        <f t="shared" si="22"/>
        <v>319</v>
      </c>
    </row>
    <row r="122" spans="1:17">
      <c r="A122" s="72">
        <f t="shared" si="23"/>
        <v>0</v>
      </c>
      <c r="B122" s="69">
        <f>IF(D$20=Data!F$4,"",IF(A122=0,0,+B121+E$15*E$4*2))</f>
        <v>0</v>
      </c>
      <c r="C122" s="69">
        <f>IF(D$20=Data!F$4,"",IF(A122=0,0,+C121+E$15*E$4*2))</f>
        <v>0</v>
      </c>
      <c r="D122" s="112">
        <f>IF(D$20=Data!F$4,'Step 4 Stage Discharge'!P122,IF(A122&gt;=E$7-E$8,C121*B121*E$15+E$4*E$15^2*(B121+C121)+1/3*(2*E$15*E$4)^2*E$15,0))</f>
        <v>0</v>
      </c>
      <c r="E122" s="112">
        <f t="shared" si="20"/>
        <v>470.44800000000004</v>
      </c>
      <c r="F122" s="113">
        <f t="shared" ref="F122:F126" si="24">IF(INT((A122+E$8-E$7)*100)/100&gt;=0,ROUND(-E$7+E$8+A122,3),E$8)</f>
        <v>0.9</v>
      </c>
      <c r="G122" s="113">
        <f t="shared" ref="G122:G126" si="25">F122+E$9-K$11-K$13/2</f>
        <v>0.86499999999999999</v>
      </c>
      <c r="H122" s="172">
        <f t="shared" ref="H122:H126" si="26">IF(G122&gt;=K$13/2,K$12*K$14*(2*9.81*G122)^0.5,IF(G122&lt;0,1.38*(A122-K$11)^2.5,2*G122/K$13*K$12*K$14*(2*9.81*G122)^0.5+(1-2*G122/K$13)*1.38*G122^2.5))</f>
        <v>0.14152261623449167</v>
      </c>
      <c r="I122" s="172">
        <f t="shared" si="18"/>
        <v>0.20000000000000284</v>
      </c>
      <c r="J122" s="172"/>
      <c r="K122" s="172">
        <f t="shared" si="19"/>
        <v>9.2161777760633223E-2</v>
      </c>
      <c r="L122" s="172"/>
      <c r="M122" s="107">
        <f>IF(D$18=Data!E$3,H122,IF(D$18=Data!E$4,K122,H122+K122))</f>
        <v>0.14152261623449167</v>
      </c>
      <c r="O122" s="69">
        <f t="shared" si="21"/>
        <v>0</v>
      </c>
      <c r="P122" s="72"/>
      <c r="Q122" s="69">
        <f t="shared" si="22"/>
        <v>319</v>
      </c>
    </row>
    <row r="123" spans="1:17">
      <c r="A123" s="72">
        <f t="shared" si="23"/>
        <v>0</v>
      </c>
      <c r="B123" s="69">
        <f>IF(D$20=Data!F$4,"",IF(A123=0,0,+B122+E$15*E$4*2))</f>
        <v>0</v>
      </c>
      <c r="C123" s="69">
        <f>IF(D$20=Data!F$4,"",IF(A123=0,0,+C122+E$15*E$4*2))</f>
        <v>0</v>
      </c>
      <c r="D123" s="112">
        <f>IF(D$20=Data!F$4,'Step 4 Stage Discharge'!P123,IF(A123&gt;=E$7-E$8,C122*B122*E$15+E$4*E$15^2*(B122+C122)+1/3*(2*E$15*E$4)^2*E$15,0))</f>
        <v>0</v>
      </c>
      <c r="E123" s="112">
        <f t="shared" si="20"/>
        <v>470.44800000000004</v>
      </c>
      <c r="F123" s="113">
        <f t="shared" si="24"/>
        <v>0.9</v>
      </c>
      <c r="G123" s="113">
        <f t="shared" si="25"/>
        <v>0.86499999999999999</v>
      </c>
      <c r="H123" s="172">
        <f t="shared" si="26"/>
        <v>0.14152261623449167</v>
      </c>
      <c r="I123" s="172">
        <f t="shared" si="18"/>
        <v>0.20000000000000284</v>
      </c>
      <c r="J123" s="172"/>
      <c r="K123" s="172">
        <f t="shared" si="19"/>
        <v>9.2161777760633223E-2</v>
      </c>
      <c r="L123" s="172"/>
      <c r="M123" s="107">
        <f>IF(D$18=Data!E$3,H123,IF(D$18=Data!E$4,K123,H123+K123))</f>
        <v>0.14152261623449167</v>
      </c>
      <c r="O123" s="69">
        <f t="shared" si="21"/>
        <v>0</v>
      </c>
      <c r="P123" s="72"/>
      <c r="Q123" s="69">
        <f t="shared" si="22"/>
        <v>319</v>
      </c>
    </row>
    <row r="124" spans="1:17">
      <c r="A124" s="72">
        <f t="shared" si="23"/>
        <v>0</v>
      </c>
      <c r="B124" s="69">
        <f>IF(D$20=Data!F$4,"",IF(A124=0,0,+B123+E$15*E$4*2))</f>
        <v>0</v>
      </c>
      <c r="C124" s="69">
        <f>IF(D$20=Data!F$4,"",IF(A124=0,0,+C123+E$15*E$4*2))</f>
        <v>0</v>
      </c>
      <c r="D124" s="112">
        <f>IF(D$20=Data!F$4,'Step 4 Stage Discharge'!P124,IF(A124&gt;=E$7-E$8,C123*B123*E$15+E$4*E$15^2*(B123+C123)+1/3*(2*E$15*E$4)^2*E$15,0))</f>
        <v>0</v>
      </c>
      <c r="E124" s="112">
        <f t="shared" si="20"/>
        <v>470.44800000000004</v>
      </c>
      <c r="F124" s="113">
        <f t="shared" si="24"/>
        <v>0.9</v>
      </c>
      <c r="G124" s="113">
        <f t="shared" si="25"/>
        <v>0.86499999999999999</v>
      </c>
      <c r="H124" s="172">
        <f t="shared" si="26"/>
        <v>0.14152261623449167</v>
      </c>
      <c r="I124" s="172">
        <f t="shared" si="18"/>
        <v>0.20000000000000284</v>
      </c>
      <c r="J124" s="172"/>
      <c r="K124" s="172">
        <f t="shared" si="19"/>
        <v>9.2161777760633223E-2</v>
      </c>
      <c r="L124" s="172"/>
      <c r="M124" s="107">
        <f>IF(D$18=Data!E$3,H124,IF(D$18=Data!E$4,K124,H124+K124))</f>
        <v>0.14152261623449167</v>
      </c>
      <c r="O124" s="69">
        <f t="shared" si="21"/>
        <v>0</v>
      </c>
      <c r="P124" s="72"/>
      <c r="Q124" s="69">
        <f t="shared" si="22"/>
        <v>319</v>
      </c>
    </row>
    <row r="125" spans="1:17">
      <c r="A125" s="72">
        <f t="shared" si="23"/>
        <v>0</v>
      </c>
      <c r="B125" s="69">
        <f>IF(D$20=Data!F$4,"",IF(A125=0,0,+B124+E$15*E$4*2))</f>
        <v>0</v>
      </c>
      <c r="C125" s="69">
        <f>IF(D$20=Data!F$4,"",IF(A125=0,0,+C124+E$15*E$4*2))</f>
        <v>0</v>
      </c>
      <c r="D125" s="112">
        <f>IF(D$20=Data!F$4,'Step 4 Stage Discharge'!P125,IF(A125&gt;=E$7-E$8,C124*B124*E$15+E$4*E$15^2*(B124+C124)+1/3*(2*E$15*E$4)^2*E$15,0))</f>
        <v>0</v>
      </c>
      <c r="E125" s="112">
        <f t="shared" si="20"/>
        <v>470.44800000000004</v>
      </c>
      <c r="F125" s="113">
        <f t="shared" si="24"/>
        <v>0.9</v>
      </c>
      <c r="G125" s="113">
        <f t="shared" si="25"/>
        <v>0.86499999999999999</v>
      </c>
      <c r="H125" s="172">
        <f t="shared" si="26"/>
        <v>0.14152261623449167</v>
      </c>
      <c r="I125" s="172">
        <f t="shared" si="18"/>
        <v>0.20000000000000284</v>
      </c>
      <c r="J125" s="172"/>
      <c r="K125" s="172">
        <f t="shared" si="19"/>
        <v>9.2161777760633223E-2</v>
      </c>
      <c r="L125" s="172"/>
      <c r="M125" s="107">
        <f>IF(D$18=Data!E$3,H125,IF(D$18=Data!E$4,K125,H125+K125))</f>
        <v>0.14152261623449167</v>
      </c>
      <c r="O125" s="69">
        <f t="shared" si="21"/>
        <v>0</v>
      </c>
      <c r="P125" s="72"/>
      <c r="Q125" s="69">
        <f t="shared" si="22"/>
        <v>319</v>
      </c>
    </row>
    <row r="126" spans="1:17">
      <c r="A126" s="72">
        <f t="shared" si="23"/>
        <v>0</v>
      </c>
      <c r="B126" s="69">
        <f>IF(D$20=Data!F$4,"",IF(A126=0,0,+B125+E$15*E$4*2))</f>
        <v>0</v>
      </c>
      <c r="C126" s="69">
        <f>IF(D$20=Data!F$4,"",IF(A126=0,0,+C125+E$15*E$4*2))</f>
        <v>0</v>
      </c>
      <c r="D126" s="112">
        <f>IF(D$20=Data!F$4,'Step 4 Stage Discharge'!P126,IF(A126&gt;=E$7-E$8,C125*B125*E$15+E$4*E$15^2*(B125+C125)+1/3*(2*E$15*E$4)^2*E$15,0))</f>
        <v>0</v>
      </c>
      <c r="E126" s="112">
        <f t="shared" si="20"/>
        <v>470.44800000000004</v>
      </c>
      <c r="F126" s="113">
        <f t="shared" si="24"/>
        <v>0.9</v>
      </c>
      <c r="G126" s="113">
        <f t="shared" si="25"/>
        <v>0.86499999999999999</v>
      </c>
      <c r="H126" s="172">
        <f t="shared" si="26"/>
        <v>0.14152261623449167</v>
      </c>
      <c r="I126" s="172">
        <f t="shared" si="18"/>
        <v>0.20000000000000284</v>
      </c>
      <c r="J126" s="172"/>
      <c r="K126" s="172">
        <f t="shared" si="19"/>
        <v>9.2161777760633223E-2</v>
      </c>
      <c r="L126" s="172"/>
      <c r="M126" s="107">
        <f>IF(D$18=Data!E$3,H126,IF(D$18=Data!E$4,K126,H126+K126))</f>
        <v>0.14152261623449167</v>
      </c>
      <c r="O126" s="69">
        <f t="shared" si="21"/>
        <v>0</v>
      </c>
      <c r="P126" s="72"/>
      <c r="Q126" s="69">
        <f t="shared" si="22"/>
        <v>319</v>
      </c>
    </row>
  </sheetData>
  <mergeCells count="8">
    <mergeCell ref="N19:O19"/>
    <mergeCell ref="D18:E18"/>
    <mergeCell ref="G23:H23"/>
    <mergeCell ref="M23:M24"/>
    <mergeCell ref="I23:L23"/>
    <mergeCell ref="D20:E20"/>
    <mergeCell ref="O23:Q23"/>
    <mergeCell ref="P24:Q24"/>
  </mergeCells>
  <conditionalFormatting sqref="E4">
    <cfRule type="cellIs" dxfId="0" priority="3" stopIfTrue="1" operator="lessThan">
      <formula>5</formula>
    </cfRule>
  </conditionalFormatting>
  <dataValidations count="3">
    <dataValidation type="list" allowBlank="1" showInputMessage="1" showErrorMessage="1" sqref="D18:E18">
      <formula1>Control</formula1>
    </dataValidation>
    <dataValidation type="list" allowBlank="1" showInputMessage="1" showErrorMessage="1" sqref="D20:E20">
      <formula1>Storage</formula1>
    </dataValidation>
    <dataValidation type="decimal" operator="greaterThan" allowBlank="1" showInputMessage="1" showErrorMessage="1" sqref="E15">
      <formula1>0.01</formula1>
    </dataValidation>
  </dataValidations>
  <pageMargins left="0.75" right="0.75" top="1" bottom="1" header="0.5" footer="0.5"/>
  <pageSetup scale="74" fitToHeight="10"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M913"/>
  <sheetViews>
    <sheetView workbookViewId="0">
      <selection activeCell="C5" sqref="C5:E5"/>
    </sheetView>
  </sheetViews>
  <sheetFormatPr defaultRowHeight="12.75"/>
  <cols>
    <col min="1" max="1" width="11" bestFit="1" customWidth="1"/>
    <col min="2" max="2" width="14.5703125" style="11" customWidth="1"/>
    <col min="3" max="3" width="3.28515625" style="11" customWidth="1"/>
    <col min="4" max="4" width="12.42578125" customWidth="1"/>
    <col min="5" max="5" width="3.42578125" style="14" customWidth="1"/>
    <col min="6" max="6" width="12.42578125" customWidth="1"/>
    <col min="7" max="7" width="13.85546875" customWidth="1"/>
    <col min="8" max="8" width="2.28515625" style="14" customWidth="1"/>
    <col min="9" max="9" width="10.7109375" customWidth="1"/>
    <col min="10" max="10" width="2.7109375" style="14" customWidth="1"/>
    <col min="11" max="11" width="13.85546875" customWidth="1"/>
    <col min="12" max="12" width="14.28515625" customWidth="1"/>
  </cols>
  <sheetData>
    <row r="1" spans="1:13" s="14" customFormat="1" ht="15.75">
      <c r="A1" s="143" t="s">
        <v>217</v>
      </c>
      <c r="B1" s="11"/>
      <c r="C1" s="11"/>
    </row>
    <row r="2" spans="1:13" s="14" customFormat="1" ht="15.75">
      <c r="A2" s="13"/>
      <c r="B2" s="11"/>
      <c r="C2" s="11"/>
      <c r="I2" s="257" t="s">
        <v>206</v>
      </c>
      <c r="J2" s="257"/>
      <c r="K2" s="257"/>
      <c r="L2" s="257"/>
    </row>
    <row r="3" spans="1:13" s="14" customFormat="1" ht="7.5" customHeight="1">
      <c r="A3" s="13"/>
      <c r="B3" s="11"/>
      <c r="C3" s="11"/>
      <c r="I3" s="168"/>
      <c r="J3" s="168"/>
      <c r="K3" s="168"/>
      <c r="L3" s="168"/>
    </row>
    <row r="4" spans="1:13" ht="13.5" thickBot="1">
      <c r="I4" s="153"/>
      <c r="J4" s="154"/>
      <c r="K4" s="155" t="s">
        <v>200</v>
      </c>
      <c r="L4" s="156" t="s">
        <v>201</v>
      </c>
    </row>
    <row r="5" spans="1:13" ht="15" thickBot="1">
      <c r="A5" s="170" t="s">
        <v>208</v>
      </c>
      <c r="B5" s="137"/>
      <c r="C5" s="258" t="s">
        <v>189</v>
      </c>
      <c r="D5" s="259"/>
      <c r="E5" s="260"/>
      <c r="I5" s="157" t="s">
        <v>205</v>
      </c>
      <c r="J5" s="158"/>
      <c r="K5" s="159">
        <f>+'Step 3 Pond Sizing'!I26</f>
        <v>470.44799999999998</v>
      </c>
      <c r="L5" s="160">
        <f>MAX(L13:L913)</f>
        <v>299.47641978216615</v>
      </c>
    </row>
    <row r="6" spans="1:13">
      <c r="A6" s="169" t="s">
        <v>207</v>
      </c>
      <c r="E6" s="134"/>
      <c r="I6" s="161" t="s">
        <v>136</v>
      </c>
      <c r="J6" s="162"/>
      <c r="K6" s="163">
        <f>+'Step 3 Pond Sizing'!I11</f>
        <v>0.9</v>
      </c>
      <c r="L6" s="164">
        <f>MAX(G13:G913)</f>
        <v>0.63872204402853761</v>
      </c>
    </row>
    <row r="7" spans="1:13" ht="13.5" thickBot="1">
      <c r="I7" s="165"/>
      <c r="J7" s="165"/>
      <c r="K7" s="165"/>
      <c r="L7" s="165"/>
    </row>
    <row r="8" spans="1:13" ht="13.5" thickBot="1">
      <c r="A8" s="170" t="s">
        <v>153</v>
      </c>
      <c r="D8" s="63">
        <f>+'Step 2 Inflow Hydrograph'!C9</f>
        <v>1</v>
      </c>
      <c r="F8" s="4"/>
      <c r="G8" s="65"/>
      <c r="I8" s="256" t="s">
        <v>204</v>
      </c>
      <c r="J8" s="256"/>
      <c r="K8" s="151" t="s">
        <v>202</v>
      </c>
      <c r="L8" s="152" t="s">
        <v>203</v>
      </c>
    </row>
    <row r="9" spans="1:13">
      <c r="F9" s="5"/>
      <c r="I9" s="256"/>
      <c r="J9" s="256"/>
      <c r="K9" s="166">
        <f>'Step 2 Inflow Hydrograph'!C24</f>
        <v>0.10070741617497482</v>
      </c>
      <c r="L9" s="167">
        <f>MAX(I13:I913)</f>
        <v>0.1181377039152235</v>
      </c>
      <c r="M9" s="3"/>
    </row>
    <row r="10" spans="1:13" s="14" customFormat="1">
      <c r="A10" s="56"/>
      <c r="B10" s="11"/>
      <c r="C10" s="11"/>
      <c r="D10" s="134"/>
      <c r="F10" s="5"/>
      <c r="I10" s="5"/>
      <c r="J10" s="5"/>
      <c r="K10" s="5"/>
      <c r="L10" s="15"/>
      <c r="M10" s="12"/>
    </row>
    <row r="11" spans="1:13" s="140" customFormat="1" ht="27.75" customHeight="1">
      <c r="A11" s="140" t="s">
        <v>34</v>
      </c>
      <c r="B11" s="150" t="s">
        <v>179</v>
      </c>
      <c r="C11" s="150"/>
      <c r="D11" s="140" t="s">
        <v>31</v>
      </c>
      <c r="F11" s="140" t="s">
        <v>199</v>
      </c>
      <c r="G11" s="140" t="s">
        <v>2</v>
      </c>
      <c r="I11" s="140" t="s">
        <v>28</v>
      </c>
      <c r="K11" s="140" t="s">
        <v>32</v>
      </c>
      <c r="L11" s="140" t="s">
        <v>33</v>
      </c>
    </row>
    <row r="12" spans="1:13" s="3" customFormat="1" ht="14.25">
      <c r="A12" s="3" t="s">
        <v>30</v>
      </c>
      <c r="B12" s="12" t="s">
        <v>29</v>
      </c>
      <c r="C12" s="12"/>
      <c r="D12" s="3" t="s">
        <v>35</v>
      </c>
      <c r="E12" s="126"/>
      <c r="F12" s="3" t="s">
        <v>35</v>
      </c>
      <c r="G12" s="3" t="s">
        <v>20</v>
      </c>
      <c r="H12" s="135"/>
      <c r="I12" s="3" t="s">
        <v>29</v>
      </c>
      <c r="J12" s="135"/>
      <c r="K12" s="3" t="s">
        <v>35</v>
      </c>
      <c r="L12" s="3" t="s">
        <v>35</v>
      </c>
    </row>
    <row r="13" spans="1:13">
      <c r="A13">
        <v>0</v>
      </c>
      <c r="B13" s="7">
        <f>IF(C$5=Data!D$3,'Step 2 Inflow Hydrograph'!H57,IF(C$5=Data!D$4,'Step 2 Inflow Hydrograph'!I57,IF(C$5=Data!D$5,'Step 2 Inflow Hydrograph'!J57,'Step 2 Inflow Hydrograph'!K57)))</f>
        <v>0</v>
      </c>
      <c r="C13" s="127"/>
      <c r="D13" s="6">
        <f t="shared" ref="D13:D76" si="0">IF(B13="",0,B13*D$8*60)</f>
        <v>0</v>
      </c>
      <c r="E13" s="6"/>
      <c r="F13" s="6">
        <v>0</v>
      </c>
      <c r="G13" s="149">
        <f>INDEX('Step 4 Stage Discharge'!E$26:F$126,MATCH(F13,'Step 4 Stage Discharge'!E$26:E$126,1),2)+(INDEX('Step 4 Stage Discharge'!E$26:F$126,MATCH(F13,'Step 4 Stage Discharge'!E$26:E$126,1)+1,2)-INDEX('Step 4 Stage Discharge'!E$26:F$126,MATCH(F13,'Step 4 Stage Discharge'!E$26:E$126,1),2))*(F13-INDEX('Step 4 Stage Discharge'!E$26:F$126,MATCH(F13,'Step 4 Stage Discharge'!E$26:E$126,1),1))/(INDEX('Step 4 Stage Discharge'!E$26:F$126,MATCH(F13,'Step 4 Stage Discharge'!E$26:E$126,1)+1,1)-INDEX('Step 4 Stage Discharge'!E$26:F$126,MATCH(F13,'Step 4 Stage Discharge'!E$26:E$126,1),1))</f>
        <v>0</v>
      </c>
      <c r="H13" s="149"/>
      <c r="I13" s="149">
        <f>INDEX('Step 4 Stage Discharge'!E$26:M$126,MATCH(F13,'Step 4 Stage Discharge'!E$26:E$126,1),9)+(INDEX('Step 4 Stage Discharge'!E$26:M$126,MATCH('Step 5 Routing'!F13,'Step 4 Stage Discharge'!E$26:E$126,1)+1,9)-INDEX('Step 4 Stage Discharge'!E$26:M$126,MATCH('Step 5 Routing'!F13,'Step 4 Stage Discharge'!E$26:E$126,1),9))*('Step 5 Routing'!F13-INDEX('Step 4 Stage Discharge'!E$26:M$126,MATCH('Step 5 Routing'!F13,'Step 4 Stage Discharge'!E$26:E$126,1),1))/(INDEX('Step 4 Stage Discharge'!E$26:M$126,MATCH('Step 5 Routing'!F13,'Step 4 Stage Discharge'!E$26:E$126,1)+1,1)-INDEX('Step 4 Stage Discharge'!E$26:M$126,MATCH('Step 5 Routing'!F13,'Step 4 Stage Discharge'!E$26:E$126,1),1))</f>
        <v>4.3639431710317386E-3</v>
      </c>
      <c r="J13" s="149"/>
      <c r="K13" s="6">
        <f t="shared" ref="K13:K76" si="1">IF(I13*60*D$8&gt;F13,F13,I13*60*D$8)</f>
        <v>0</v>
      </c>
      <c r="L13" s="6">
        <f t="shared" ref="L13:L76" si="2">IF(F13-K13&lt;0,0,F13-K13)</f>
        <v>0</v>
      </c>
    </row>
    <row r="14" spans="1:13">
      <c r="A14">
        <f t="shared" ref="A14:A77" si="3">+A13+D$8</f>
        <v>1</v>
      </c>
      <c r="B14" s="136">
        <f>IF(C$5=Data!D$3,'Step 2 Inflow Hydrograph'!H58,IF(C$5=Data!D$4,'Step 2 Inflow Hydrograph'!I58,IF(C$5=Data!D$5,'Step 2 Inflow Hydrograph'!J58,'Step 2 Inflow Hydrograph'!K58)))</f>
        <v>1.6463209765931238E-2</v>
      </c>
      <c r="C14" s="127"/>
      <c r="D14" s="6">
        <f t="shared" si="0"/>
        <v>0.98779258595587427</v>
      </c>
      <c r="E14" s="6"/>
      <c r="F14" s="6">
        <f t="shared" ref="F14:F77" si="4">+L13+D14</f>
        <v>0.98779258595587427</v>
      </c>
      <c r="G14" s="149">
        <f>INDEX('Step 4 Stage Discharge'!E$26:F$126,MATCH(F14,'Step 4 Stage Discharge'!E$26:E$126,1),2)+(INDEX('Step 4 Stage Discharge'!E$26:F$126,MATCH(F14,'Step 4 Stage Discharge'!E$26:E$126,1)+1,2)-INDEX('Step 4 Stage Discharge'!E$26:F$126,MATCH(F14,'Step 4 Stage Discharge'!E$26:E$126,1),2))*(F14-INDEX('Step 4 Stage Discharge'!E$26:F$126,MATCH(F14,'Step 4 Stage Discharge'!E$26:E$126,1),1))/(INDEX('Step 4 Stage Discharge'!E$26:F$126,MATCH(F14,'Step 4 Stage Discharge'!E$26:E$126,1)+1,1)-INDEX('Step 4 Stage Discharge'!E$26:F$126,MATCH(F14,'Step 4 Stage Discharge'!E$26:E$126,1),1))</f>
        <v>2.5004875100138576E-3</v>
      </c>
      <c r="H14" s="149"/>
      <c r="I14" s="149">
        <f>INDEX('Step 4 Stage Discharge'!E$26:M$126,MATCH(F14,'Step 4 Stage Discharge'!E$26:E$126,1),9)+(INDEX('Step 4 Stage Discharge'!E$26:M$126,MATCH('Step 5 Routing'!F14,'Step 4 Stage Discharge'!E$26:E$126,1)+1,9)-INDEX('Step 4 Stage Discharge'!E$26:M$126,MATCH('Step 5 Routing'!F14,'Step 4 Stage Discharge'!E$26:E$126,1),9))*('Step 5 Routing'!F14-INDEX('Step 4 Stage Discharge'!E$26:M$126,MATCH('Step 5 Routing'!F14,'Step 4 Stage Discharge'!E$26:E$126,1),1))/(INDEX('Step 4 Stage Discharge'!E$26:M$126,MATCH('Step 5 Routing'!F14,'Step 4 Stage Discharge'!E$26:E$126,1)+1,1)-INDEX('Step 4 Stage Discharge'!E$26:M$126,MATCH('Step 5 Routing'!F14,'Step 4 Stage Discharge'!E$26:E$126,1),1))</f>
        <v>4.7411629453301771E-3</v>
      </c>
      <c r="J14" s="149"/>
      <c r="K14" s="6">
        <f t="shared" si="1"/>
        <v>0.28446977671981061</v>
      </c>
      <c r="L14" s="6">
        <f t="shared" si="2"/>
        <v>0.70332280923606372</v>
      </c>
    </row>
    <row r="15" spans="1:13">
      <c r="A15">
        <f t="shared" si="3"/>
        <v>2</v>
      </c>
      <c r="B15" s="136">
        <f>IF(C$5=Data!D$3,'Step 2 Inflow Hydrograph'!H59,IF(C$5=Data!D$4,'Step 2 Inflow Hydrograph'!I59,IF(C$5=Data!D$5,'Step 2 Inflow Hydrograph'!J59,'Step 2 Inflow Hydrograph'!K59)))</f>
        <v>5.4877365886437469E-2</v>
      </c>
      <c r="C15" s="127"/>
      <c r="D15" s="6">
        <f t="shared" si="0"/>
        <v>3.2926419531862483</v>
      </c>
      <c r="E15" s="6"/>
      <c r="F15" s="6">
        <f t="shared" si="4"/>
        <v>3.9959647624223118</v>
      </c>
      <c r="G15" s="149">
        <f>INDEX('Step 4 Stage Discharge'!E$26:F$126,MATCH(F15,'Step 4 Stage Discharge'!E$26:E$126,1),2)+(INDEX('Step 4 Stage Discharge'!E$26:F$126,MATCH(F15,'Step 4 Stage Discharge'!E$26:E$126,1)+1,2)-INDEX('Step 4 Stage Discharge'!E$26:F$126,MATCH(F15,'Step 4 Stage Discharge'!E$26:E$126,1),2))*(F15-INDEX('Step 4 Stage Discharge'!E$26:F$126,MATCH(F15,'Step 4 Stage Discharge'!E$26:E$126,1),1))/(INDEX('Step 4 Stage Discharge'!E$26:F$126,MATCH(F15,'Step 4 Stage Discharge'!E$26:E$126,1)+1,1)-INDEX('Step 4 Stage Discharge'!E$26:F$126,MATCH(F15,'Step 4 Stage Discharge'!E$26:E$126,1),1))</f>
        <v>1.0115342148699654E-2</v>
      </c>
      <c r="H15" s="149"/>
      <c r="I15" s="149">
        <f>INDEX('Step 4 Stage Discharge'!E$26:M$126,MATCH(F15,'Step 4 Stage Discharge'!E$26:E$126,1),9)+(INDEX('Step 4 Stage Discharge'!E$26:M$126,MATCH('Step 5 Routing'!F15,'Step 4 Stage Discharge'!E$26:E$126,1)+1,9)-INDEX('Step 4 Stage Discharge'!E$26:M$126,MATCH('Step 5 Routing'!F15,'Step 4 Stage Discharge'!E$26:E$126,1),9))*('Step 5 Routing'!F15-INDEX('Step 4 Stage Discharge'!E$26:M$126,MATCH('Step 5 Routing'!F15,'Step 4 Stage Discharge'!E$26:E$126,1),1))/(INDEX('Step 4 Stage Discharge'!E$26:M$126,MATCH('Step 5 Routing'!F15,'Step 4 Stage Discharge'!E$26:E$126,1)+1,1)-INDEX('Step 4 Stage Discharge'!E$26:M$126,MATCH('Step 5 Routing'!F15,'Step 4 Stage Discharge'!E$26:E$126,1),1))</f>
        <v>5.8899284307072893E-3</v>
      </c>
      <c r="J15" s="149"/>
      <c r="K15" s="6">
        <f t="shared" si="1"/>
        <v>0.35339570584243735</v>
      </c>
      <c r="L15" s="6">
        <f t="shared" si="2"/>
        <v>3.6425690565798745</v>
      </c>
      <c r="M15" s="14"/>
    </row>
    <row r="16" spans="1:13">
      <c r="A16">
        <f t="shared" si="3"/>
        <v>3</v>
      </c>
      <c r="B16" s="136">
        <f>IF(C$5=Data!D$3,'Step 2 Inflow Hydrograph'!H60,IF(C$5=Data!D$4,'Step 2 Inflow Hydrograph'!I60,IF(C$5=Data!D$5,'Step 2 Inflow Hydrograph'!J60,'Step 2 Inflow Hydrograph'!K60)))</f>
        <v>0.10426699518423117</v>
      </c>
      <c r="C16" s="127"/>
      <c r="D16" s="6">
        <f t="shared" si="0"/>
        <v>6.2560197110538702</v>
      </c>
      <c r="E16" s="6"/>
      <c r="F16" s="6">
        <f t="shared" si="4"/>
        <v>9.8985887676337452</v>
      </c>
      <c r="G16" s="149">
        <f>INDEX('Step 4 Stage Discharge'!E$26:F$126,MATCH(F16,'Step 4 Stage Discharge'!E$26:E$126,1),2)+(INDEX('Step 4 Stage Discharge'!E$26:F$126,MATCH(F16,'Step 4 Stage Discharge'!E$26:E$126,1)+1,2)-INDEX('Step 4 Stage Discharge'!E$26:F$126,MATCH(F16,'Step 4 Stage Discharge'!E$26:E$126,1),2))*(F16-INDEX('Step 4 Stage Discharge'!E$26:F$126,MATCH(F16,'Step 4 Stage Discharge'!E$26:E$126,1),1))/(INDEX('Step 4 Stage Discharge'!E$26:F$126,MATCH(F16,'Step 4 Stage Discharge'!E$26:E$126,1)+1,1)-INDEX('Step 4 Stage Discharge'!E$26:F$126,MATCH(F16,'Step 4 Stage Discharge'!E$26:E$126,1),1))</f>
        <v>2.5057180963025883E-2</v>
      </c>
      <c r="H16" s="149"/>
      <c r="I16" s="149">
        <f>INDEX('Step 4 Stage Discharge'!E$26:M$126,MATCH(F16,'Step 4 Stage Discharge'!E$26:E$126,1),9)+(INDEX('Step 4 Stage Discharge'!E$26:M$126,MATCH('Step 5 Routing'!F16,'Step 4 Stage Discharge'!E$26:E$126,1)+1,9)-INDEX('Step 4 Stage Discharge'!E$26:M$126,MATCH('Step 5 Routing'!F16,'Step 4 Stage Discharge'!E$26:E$126,1),9))*('Step 5 Routing'!F16-INDEX('Step 4 Stage Discharge'!E$26:M$126,MATCH('Step 5 Routing'!F16,'Step 4 Stage Discharge'!E$26:E$126,1),1))/(INDEX('Step 4 Stage Discharge'!E$26:M$126,MATCH('Step 5 Routing'!F16,'Step 4 Stage Discharge'!E$26:E$126,1)+1,1)-INDEX('Step 4 Stage Discharge'!E$26:M$126,MATCH('Step 5 Routing'!F16,'Step 4 Stage Discharge'!E$26:E$126,1),1))</f>
        <v>8.1440316975988532E-3</v>
      </c>
      <c r="J16" s="149"/>
      <c r="K16" s="6">
        <f t="shared" si="1"/>
        <v>0.4886419018559312</v>
      </c>
      <c r="L16" s="6">
        <f t="shared" si="2"/>
        <v>9.4099468657778136</v>
      </c>
      <c r="M16" s="14"/>
    </row>
    <row r="17" spans="1:13">
      <c r="A17">
        <f t="shared" si="3"/>
        <v>4</v>
      </c>
      <c r="B17" s="136">
        <f>IF(C$5=Data!D$3,'Step 2 Inflow Hydrograph'!H61,IF(C$5=Data!D$4,'Step 2 Inflow Hydrograph'!I61,IF(C$5=Data!D$5,'Step 2 Inflow Hydrograph'!J61,'Step 2 Inflow Hydrograph'!K61)))</f>
        <v>0.17011983424795613</v>
      </c>
      <c r="C17" s="127"/>
      <c r="D17" s="6">
        <f t="shared" si="0"/>
        <v>10.207190054877367</v>
      </c>
      <c r="E17" s="6"/>
      <c r="F17" s="6">
        <f t="shared" si="4"/>
        <v>19.617136920655181</v>
      </c>
      <c r="G17" s="149">
        <f>INDEX('Step 4 Stage Discharge'!E$26:F$126,MATCH(F17,'Step 4 Stage Discharge'!E$26:E$126,1),2)+(INDEX('Step 4 Stage Discharge'!E$26:F$126,MATCH(F17,'Step 4 Stage Discharge'!E$26:E$126,1)+1,2)-INDEX('Step 4 Stage Discharge'!E$26:F$126,MATCH(F17,'Step 4 Stage Discharge'!E$26:E$126,1),2))*(F17-INDEX('Step 4 Stage Discharge'!E$26:F$126,MATCH(F17,'Step 4 Stage Discharge'!E$26:E$126,1),1))/(INDEX('Step 4 Stage Discharge'!E$26:F$126,MATCH(F17,'Step 4 Stage Discharge'!E$26:E$126,1)+1,1)-INDEX('Step 4 Stage Discharge'!E$26:F$126,MATCH(F17,'Step 4 Stage Discharge'!E$26:E$126,1),1))</f>
        <v>4.9658609053906393E-2</v>
      </c>
      <c r="H17" s="149"/>
      <c r="I17" s="149">
        <f>INDEX('Step 4 Stage Discharge'!E$26:M$126,MATCH(F17,'Step 4 Stage Discharge'!E$26:E$126,1),9)+(INDEX('Step 4 Stage Discharge'!E$26:M$126,MATCH('Step 5 Routing'!F17,'Step 4 Stage Discharge'!E$26:E$126,1)+1,9)-INDEX('Step 4 Stage Discharge'!E$26:M$126,MATCH('Step 5 Routing'!F17,'Step 4 Stage Discharge'!E$26:E$126,1),9))*('Step 5 Routing'!F17-INDEX('Step 4 Stage Discharge'!E$26:M$126,MATCH('Step 5 Routing'!F17,'Step 4 Stage Discharge'!E$26:E$126,1),1))/(INDEX('Step 4 Stage Discharge'!E$26:M$126,MATCH('Step 5 Routing'!F17,'Step 4 Stage Discharge'!E$26:E$126,1)+1,1)-INDEX('Step 4 Stage Discharge'!E$26:M$126,MATCH('Step 5 Routing'!F17,'Step 4 Stage Discharge'!E$26:E$126,1),1))</f>
        <v>1.1855366033281974E-2</v>
      </c>
      <c r="J17" s="149"/>
      <c r="K17" s="6">
        <f t="shared" si="1"/>
        <v>0.71132196199691844</v>
      </c>
      <c r="L17" s="6">
        <f t="shared" si="2"/>
        <v>18.905814958658262</v>
      </c>
      <c r="M17" s="14"/>
    </row>
    <row r="18" spans="1:13">
      <c r="A18">
        <f t="shared" si="3"/>
        <v>5</v>
      </c>
      <c r="B18" s="136">
        <f>IF(C$5=Data!D$3,'Step 2 Inflow Hydrograph'!H62,IF(C$5=Data!D$4,'Step 2 Inflow Hydrograph'!I62,IF(C$5=Data!D$5,'Step 2 Inflow Hydrograph'!J62,'Step 2 Inflow Hydrograph'!K62)))</f>
        <v>0.25792361966625604</v>
      </c>
      <c r="C18" s="127"/>
      <c r="D18" s="6">
        <f t="shared" si="0"/>
        <v>15.475417179975363</v>
      </c>
      <c r="E18" s="6"/>
      <c r="F18" s="6">
        <f t="shared" si="4"/>
        <v>34.381232138633621</v>
      </c>
      <c r="G18" s="149">
        <f>INDEX('Step 4 Stage Discharge'!E$26:F$126,MATCH(F18,'Step 4 Stage Discharge'!E$26:E$126,1),2)+(INDEX('Step 4 Stage Discharge'!E$26:F$126,MATCH(F18,'Step 4 Stage Discharge'!E$26:E$126,1)+1,2)-INDEX('Step 4 Stage Discharge'!E$26:F$126,MATCH(F18,'Step 4 Stage Discharge'!E$26:E$126,1),2))*(F18-INDEX('Step 4 Stage Discharge'!E$26:F$126,MATCH(F18,'Step 4 Stage Discharge'!E$26:E$126,1),1))/(INDEX('Step 4 Stage Discharge'!E$26:F$126,MATCH(F18,'Step 4 Stage Discharge'!E$26:E$126,1)+1,1)-INDEX('Step 4 Stage Discharge'!E$26:F$126,MATCH(F18,'Step 4 Stage Discharge'!E$26:E$126,1),1))</f>
        <v>8.7032280626350794E-2</v>
      </c>
      <c r="H18" s="149"/>
      <c r="I18" s="149">
        <f>INDEX('Step 4 Stage Discharge'!E$26:M$126,MATCH(F18,'Step 4 Stage Discharge'!E$26:E$126,1),9)+(INDEX('Step 4 Stage Discharge'!E$26:M$126,MATCH('Step 5 Routing'!F18,'Step 4 Stage Discharge'!E$26:E$126,1)+1,9)-INDEX('Step 4 Stage Discharge'!E$26:M$126,MATCH('Step 5 Routing'!F18,'Step 4 Stage Discharge'!E$26:E$126,1),9))*('Step 5 Routing'!F18-INDEX('Step 4 Stage Discharge'!E$26:M$126,MATCH('Step 5 Routing'!F18,'Step 4 Stage Discharge'!E$26:E$126,1),1))/(INDEX('Step 4 Stage Discharge'!E$26:M$126,MATCH('Step 5 Routing'!F18,'Step 4 Stage Discharge'!E$26:E$126,1)+1,1)-INDEX('Step 4 Stage Discharge'!E$26:M$126,MATCH('Step 5 Routing'!F18,'Step 4 Stage Discharge'!E$26:E$126,1),1))</f>
        <v>1.7493501756336762E-2</v>
      </c>
      <c r="J18" s="149"/>
      <c r="K18" s="6">
        <f t="shared" si="1"/>
        <v>1.0496101053802058</v>
      </c>
      <c r="L18" s="6">
        <f t="shared" si="2"/>
        <v>33.331622033253417</v>
      </c>
      <c r="M18" s="14"/>
    </row>
    <row r="19" spans="1:13">
      <c r="A19">
        <f t="shared" si="3"/>
        <v>6</v>
      </c>
      <c r="B19" s="136">
        <f>IF(C$5=Data!D$3,'Step 2 Inflow Hydrograph'!H63,IF(C$5=Data!D$4,'Step 2 Inflow Hydrograph'!I63,IF(C$5=Data!D$5,'Step 2 Inflow Hydrograph'!J63,'Step 2 Inflow Hydrograph'!K63)))</f>
        <v>0.36219061485048726</v>
      </c>
      <c r="C19" s="127"/>
      <c r="D19" s="6">
        <f t="shared" si="0"/>
        <v>21.731436891029237</v>
      </c>
      <c r="E19" s="6"/>
      <c r="F19" s="6">
        <f t="shared" si="4"/>
        <v>55.063058924282657</v>
      </c>
      <c r="G19" s="149">
        <f>INDEX('Step 4 Stage Discharge'!E$26:F$126,MATCH(F19,'Step 4 Stage Discharge'!E$26:E$126,1),2)+(INDEX('Step 4 Stage Discharge'!E$26:F$126,MATCH(F19,'Step 4 Stage Discharge'!E$26:E$126,1)+1,2)-INDEX('Step 4 Stage Discharge'!E$26:F$126,MATCH(F19,'Step 4 Stage Discharge'!E$26:E$126,1),2))*(F19-INDEX('Step 4 Stage Discharge'!E$26:F$126,MATCH(F19,'Step 4 Stage Discharge'!E$26:E$126,1),1))/(INDEX('Step 4 Stage Discharge'!E$26:F$126,MATCH(F19,'Step 4 Stage Discharge'!E$26:E$126,1)+1,1)-INDEX('Step 4 Stage Discharge'!E$26:F$126,MATCH(F19,'Step 4 Stage Discharge'!E$26:E$126,1),1))</f>
        <v>0.13658544705672182</v>
      </c>
      <c r="H19" s="149"/>
      <c r="I19" s="149">
        <f>INDEX('Step 4 Stage Discharge'!E$26:M$126,MATCH(F19,'Step 4 Stage Discharge'!E$26:E$126,1),9)+(INDEX('Step 4 Stage Discharge'!E$26:M$126,MATCH('Step 5 Routing'!F19,'Step 4 Stage Discharge'!E$26:E$126,1)+1,9)-INDEX('Step 4 Stage Discharge'!E$26:M$126,MATCH('Step 5 Routing'!F19,'Step 4 Stage Discharge'!E$26:E$126,1),9))*('Step 5 Routing'!F19-INDEX('Step 4 Stage Discharge'!E$26:M$126,MATCH('Step 5 Routing'!F19,'Step 4 Stage Discharge'!E$26:E$126,1),1))/(INDEX('Step 4 Stage Discharge'!E$26:M$126,MATCH('Step 5 Routing'!F19,'Step 4 Stage Discharge'!E$26:E$126,1)+1,1)-INDEX('Step 4 Stage Discharge'!E$26:M$126,MATCH('Step 5 Routing'!F19,'Step 4 Stage Discharge'!E$26:E$126,1),1))</f>
        <v>3.4947516969048409E-2</v>
      </c>
      <c r="J19" s="149"/>
      <c r="K19" s="6">
        <f t="shared" si="1"/>
        <v>2.0968510181429045</v>
      </c>
      <c r="L19" s="6">
        <f t="shared" si="2"/>
        <v>52.966207906139751</v>
      </c>
      <c r="M19" s="14"/>
    </row>
    <row r="20" spans="1:13">
      <c r="A20">
        <f t="shared" si="3"/>
        <v>7</v>
      </c>
      <c r="B20" s="136">
        <f>IF(C$5=Data!D$3,'Step 2 Inflow Hydrograph'!H64,IF(C$5=Data!D$4,'Step 2 Inflow Hydrograph'!I64,IF(C$5=Data!D$5,'Step 2 Inflow Hydrograph'!J64,'Step 2 Inflow Hydrograph'!K64)))</f>
        <v>0.44999440026878718</v>
      </c>
      <c r="C20" s="127"/>
      <c r="D20" s="6">
        <f t="shared" si="0"/>
        <v>26.99966401612723</v>
      </c>
      <c r="E20" s="6"/>
      <c r="F20" s="6">
        <f t="shared" si="4"/>
        <v>79.965871922266984</v>
      </c>
      <c r="G20" s="149">
        <f>INDEX('Step 4 Stage Discharge'!E$26:F$126,MATCH(F20,'Step 4 Stage Discharge'!E$26:E$126,1),2)+(INDEX('Step 4 Stage Discharge'!E$26:F$126,MATCH(F20,'Step 4 Stage Discharge'!E$26:E$126,1)+1,2)-INDEX('Step 4 Stage Discharge'!E$26:F$126,MATCH(F20,'Step 4 Stage Discharge'!E$26:E$126,1),2))*(F20-INDEX('Step 4 Stage Discharge'!E$26:F$126,MATCH(F20,'Step 4 Stage Discharge'!E$26:E$126,1),1))/(INDEX('Step 4 Stage Discharge'!E$26:F$126,MATCH(F20,'Step 4 Stage Discharge'!E$26:E$126,1)+1,1)-INDEX('Step 4 Stage Discharge'!E$26:F$126,MATCH(F20,'Step 4 Stage Discharge'!E$26:E$126,1),1))</f>
        <v>0.19514172291729442</v>
      </c>
      <c r="H20" s="149"/>
      <c r="I20" s="149">
        <f>INDEX('Step 4 Stage Discharge'!E$26:M$126,MATCH(F20,'Step 4 Stage Discharge'!E$26:E$126,1),9)+(INDEX('Step 4 Stage Discharge'!E$26:M$126,MATCH('Step 5 Routing'!F20,'Step 4 Stage Discharge'!E$26:E$126,1)+1,9)-INDEX('Step 4 Stage Discharge'!E$26:M$126,MATCH('Step 5 Routing'!F20,'Step 4 Stage Discharge'!E$26:E$126,1),9))*('Step 5 Routing'!F20-INDEX('Step 4 Stage Discharge'!E$26:M$126,MATCH('Step 5 Routing'!F20,'Step 4 Stage Discharge'!E$26:E$126,1),1))/(INDEX('Step 4 Stage Discharge'!E$26:M$126,MATCH('Step 5 Routing'!F20,'Step 4 Stage Discharge'!E$26:E$126,1)+1,1)-INDEX('Step 4 Stage Discharge'!E$26:M$126,MATCH('Step 5 Routing'!F20,'Step 4 Stage Discharge'!E$26:E$126,1),1))</f>
        <v>5.9752162298880487E-2</v>
      </c>
      <c r="J20" s="149"/>
      <c r="K20" s="6">
        <f t="shared" si="1"/>
        <v>3.5851297379328293</v>
      </c>
      <c r="L20" s="6">
        <f t="shared" si="2"/>
        <v>76.380742184334153</v>
      </c>
      <c r="M20" s="14"/>
    </row>
    <row r="21" spans="1:13">
      <c r="A21">
        <f t="shared" si="3"/>
        <v>8</v>
      </c>
      <c r="B21" s="136">
        <f>IF(C$5=Data!D$3,'Step 2 Inflow Hydrograph'!H65,IF(C$5=Data!D$4,'Step 2 Inflow Hydrograph'!I65,IF(C$5=Data!D$5,'Step 2 Inflow Hydrograph'!J65,'Step 2 Inflow Hydrograph'!K65)))</f>
        <v>0.51035950274386843</v>
      </c>
      <c r="C21" s="127"/>
      <c r="D21" s="6">
        <f t="shared" si="0"/>
        <v>30.621570164632107</v>
      </c>
      <c r="E21" s="6"/>
      <c r="F21" s="6">
        <f t="shared" si="4"/>
        <v>107.00231234896626</v>
      </c>
      <c r="G21" s="149">
        <f>INDEX('Step 4 Stage Discharge'!E$26:F$126,MATCH(F21,'Step 4 Stage Discharge'!E$26:E$126,1),2)+(INDEX('Step 4 Stage Discharge'!E$26:F$126,MATCH(F21,'Step 4 Stage Discharge'!E$26:E$126,1)+1,2)-INDEX('Step 4 Stage Discharge'!E$26:F$126,MATCH(F21,'Step 4 Stage Discharge'!E$26:E$126,1),2))*(F21-INDEX('Step 4 Stage Discharge'!E$26:F$126,MATCH(F21,'Step 4 Stage Discharge'!E$26:E$126,1),1))/(INDEX('Step 4 Stage Discharge'!E$26:F$126,MATCH(F21,'Step 4 Stage Discharge'!E$26:E$126,1)+1,1)-INDEX('Step 4 Stage Discharge'!E$26:F$126,MATCH(F21,'Step 4 Stage Discharge'!E$26:E$126,1),1))</f>
        <v>0.25473065129968053</v>
      </c>
      <c r="H21" s="149"/>
      <c r="I21" s="149">
        <f>INDEX('Step 4 Stage Discharge'!E$26:M$126,MATCH(F21,'Step 4 Stage Discharge'!E$26:E$126,1),9)+(INDEX('Step 4 Stage Discharge'!E$26:M$126,MATCH('Step 5 Routing'!F21,'Step 4 Stage Discharge'!E$26:E$126,1)+1,9)-INDEX('Step 4 Stage Discharge'!E$26:M$126,MATCH('Step 5 Routing'!F21,'Step 4 Stage Discharge'!E$26:E$126,1),9))*('Step 5 Routing'!F21-INDEX('Step 4 Stage Discharge'!E$26:M$126,MATCH('Step 5 Routing'!F21,'Step 4 Stage Discharge'!E$26:E$126,1),1))/(INDEX('Step 4 Stage Discharge'!E$26:M$126,MATCH('Step 5 Routing'!F21,'Step 4 Stage Discharge'!E$26:E$126,1)+1,1)-INDEX('Step 4 Stage Discharge'!E$26:M$126,MATCH('Step 5 Routing'!F21,'Step 4 Stage Discharge'!E$26:E$126,1),1))</f>
        <v>7.0852813836428899E-2</v>
      </c>
      <c r="J21" s="149"/>
      <c r="K21" s="6">
        <f t="shared" si="1"/>
        <v>4.2511688301857342</v>
      </c>
      <c r="L21" s="6">
        <f t="shared" si="2"/>
        <v>102.75114351878052</v>
      </c>
      <c r="M21" s="14"/>
    </row>
    <row r="22" spans="1:13">
      <c r="A22">
        <f t="shared" si="3"/>
        <v>9</v>
      </c>
      <c r="B22" s="136">
        <f>IF(C$5=Data!D$3,'Step 2 Inflow Hydrograph'!H66,IF(C$5=Data!D$4,'Step 2 Inflow Hydrograph'!I66,IF(C$5=Data!D$5,'Step 2 Inflow Hydrograph'!J66,'Step 2 Inflow Hydrograph'!K66)))</f>
        <v>0.5432859222757308</v>
      </c>
      <c r="C22" s="127"/>
      <c r="D22" s="6">
        <f t="shared" si="0"/>
        <v>32.59715533654385</v>
      </c>
      <c r="E22" s="6"/>
      <c r="F22" s="6">
        <f t="shared" si="4"/>
        <v>135.34829885532437</v>
      </c>
      <c r="G22" s="149">
        <f>INDEX('Step 4 Stage Discharge'!E$26:F$126,MATCH(F22,'Step 4 Stage Discharge'!E$26:E$126,1),2)+(INDEX('Step 4 Stage Discharge'!E$26:F$126,MATCH(F22,'Step 4 Stage Discharge'!E$26:E$126,1)+1,2)-INDEX('Step 4 Stage Discharge'!E$26:F$126,MATCH(F22,'Step 4 Stage Discharge'!E$26:E$126,1),2))*(F22-INDEX('Step 4 Stage Discharge'!E$26:F$126,MATCH(F22,'Step 4 Stage Discharge'!E$26:E$126,1),1))/(INDEX('Step 4 Stage Discharge'!E$26:F$126,MATCH(F22,'Step 4 Stage Discharge'!E$26:E$126,1)+1,1)-INDEX('Step 4 Stage Discharge'!E$26:F$126,MATCH(F22,'Step 4 Stage Discharge'!E$26:E$126,1),1))</f>
        <v>0.31576549199730358</v>
      </c>
      <c r="H22" s="149"/>
      <c r="I22" s="149">
        <f>INDEX('Step 4 Stage Discharge'!E$26:M$126,MATCH(F22,'Step 4 Stage Discharge'!E$26:E$126,1),9)+(INDEX('Step 4 Stage Discharge'!E$26:M$126,MATCH('Step 5 Routing'!F22,'Step 4 Stage Discharge'!E$26:E$126,1)+1,9)-INDEX('Step 4 Stage Discharge'!E$26:M$126,MATCH('Step 5 Routing'!F22,'Step 4 Stage Discharge'!E$26:E$126,1),9))*('Step 5 Routing'!F22-INDEX('Step 4 Stage Discharge'!E$26:M$126,MATCH('Step 5 Routing'!F22,'Step 4 Stage Discharge'!E$26:E$126,1),1))/(INDEX('Step 4 Stage Discharge'!E$26:M$126,MATCH('Step 5 Routing'!F22,'Step 4 Stage Discharge'!E$26:E$126,1)+1,1)-INDEX('Step 4 Stage Discharge'!E$26:M$126,MATCH('Step 5 Routing'!F22,'Step 4 Stage Discharge'!E$26:E$126,1),1))</f>
        <v>8.0476254501378727E-2</v>
      </c>
      <c r="J22" s="149"/>
      <c r="K22" s="6">
        <f t="shared" si="1"/>
        <v>4.828575270082724</v>
      </c>
      <c r="L22" s="6">
        <f t="shared" si="2"/>
        <v>130.51972358524165</v>
      </c>
      <c r="M22" s="14"/>
    </row>
    <row r="23" spans="1:13">
      <c r="A23">
        <f t="shared" si="3"/>
        <v>10</v>
      </c>
      <c r="B23" s="136">
        <f>IF(C$5=Data!D$3,'Step 2 Inflow Hydrograph'!H67,IF(C$5=Data!D$4,'Step 2 Inflow Hydrograph'!I67,IF(C$5=Data!D$5,'Step 2 Inflow Hydrograph'!J67,'Step 2 Inflow Hydrograph'!K67)))</f>
        <v>0.54877365886437457</v>
      </c>
      <c r="C23" s="127"/>
      <c r="D23" s="6">
        <f t="shared" si="0"/>
        <v>32.926419531862472</v>
      </c>
      <c r="E23" s="6"/>
      <c r="F23" s="6">
        <f t="shared" si="4"/>
        <v>163.44614311710413</v>
      </c>
      <c r="G23" s="149">
        <f>INDEX('Step 4 Stage Discharge'!E$26:F$126,MATCH(F23,'Step 4 Stage Discharge'!E$26:E$126,1),2)+(INDEX('Step 4 Stage Discharge'!E$26:F$126,MATCH(F23,'Step 4 Stage Discharge'!E$26:E$126,1)+1,2)-INDEX('Step 4 Stage Discharge'!E$26:F$126,MATCH(F23,'Step 4 Stage Discharge'!E$26:E$126,1),2))*(F23-INDEX('Step 4 Stage Discharge'!E$26:F$126,MATCH(F23,'Step 4 Stage Discharge'!E$26:E$126,1),1))/(INDEX('Step 4 Stage Discharge'!E$26:F$126,MATCH(F23,'Step 4 Stage Discharge'!E$26:E$126,1)+1,1)-INDEX('Step 4 Stage Discharge'!E$26:F$126,MATCH(F23,'Step 4 Stage Discharge'!E$26:E$126,1),1))</f>
        <v>0.37335248220426326</v>
      </c>
      <c r="H23" s="149"/>
      <c r="I23" s="149">
        <f>INDEX('Step 4 Stage Discharge'!E$26:M$126,MATCH(F23,'Step 4 Stage Discharge'!E$26:E$126,1),9)+(INDEX('Step 4 Stage Discharge'!E$26:M$126,MATCH('Step 5 Routing'!F23,'Step 4 Stage Discharge'!E$26:E$126,1)+1,9)-INDEX('Step 4 Stage Discharge'!E$26:M$126,MATCH('Step 5 Routing'!F23,'Step 4 Stage Discharge'!E$26:E$126,1),9))*('Step 5 Routing'!F23-INDEX('Step 4 Stage Discharge'!E$26:M$126,MATCH('Step 5 Routing'!F23,'Step 4 Stage Discharge'!E$26:E$126,1),1))/(INDEX('Step 4 Stage Discharge'!E$26:M$126,MATCH('Step 5 Routing'!F23,'Step 4 Stage Discharge'!E$26:E$126,1)+1,1)-INDEX('Step 4 Stage Discharge'!E$26:M$126,MATCH('Step 5 Routing'!F23,'Step 4 Stage Discharge'!E$26:E$126,1),1))</f>
        <v>8.8307625171930831E-2</v>
      </c>
      <c r="J23" s="149"/>
      <c r="K23" s="6">
        <f t="shared" si="1"/>
        <v>5.29845751031585</v>
      </c>
      <c r="L23" s="6">
        <f t="shared" si="2"/>
        <v>158.14768560678829</v>
      </c>
      <c r="M23" s="14"/>
    </row>
    <row r="24" spans="1:13">
      <c r="A24">
        <f t="shared" si="3"/>
        <v>11</v>
      </c>
      <c r="B24" s="136">
        <f>IF(C$5=Data!D$3,'Step 2 Inflow Hydrograph'!H68,IF(C$5=Data!D$4,'Step 2 Inflow Hydrograph'!I68,IF(C$5=Data!D$5,'Step 2 Inflow Hydrograph'!J68,'Step 2 Inflow Hydrograph'!K68)))</f>
        <v>0.5432859222757308</v>
      </c>
      <c r="C24" s="127"/>
      <c r="D24" s="6">
        <f t="shared" si="0"/>
        <v>32.59715533654385</v>
      </c>
      <c r="E24" s="6"/>
      <c r="F24" s="6">
        <f t="shared" si="4"/>
        <v>190.74484094333212</v>
      </c>
      <c r="G24" s="149">
        <f>INDEX('Step 4 Stage Discharge'!E$26:F$126,MATCH(F24,'Step 4 Stage Discharge'!E$26:E$126,1),2)+(INDEX('Step 4 Stage Discharge'!E$26:F$126,MATCH(F24,'Step 4 Stage Discharge'!E$26:E$126,1)+1,2)-INDEX('Step 4 Stage Discharge'!E$26:F$126,MATCH(F24,'Step 4 Stage Discharge'!E$26:E$126,1),2))*(F24-INDEX('Step 4 Stage Discharge'!E$26:F$126,MATCH(F24,'Step 4 Stage Discharge'!E$26:E$126,1),1))/(INDEX('Step 4 Stage Discharge'!E$26:F$126,MATCH(F24,'Step 4 Stage Discharge'!E$26:E$126,1)+1,1)-INDEX('Step 4 Stage Discharge'!E$26:F$126,MATCH(F24,'Step 4 Stage Discharge'!E$26:E$126,1),1))</f>
        <v>0.42747701595812598</v>
      </c>
      <c r="H24" s="149"/>
      <c r="I24" s="149">
        <f>INDEX('Step 4 Stage Discharge'!E$26:M$126,MATCH(F24,'Step 4 Stage Discharge'!E$26:E$126,1),9)+(INDEX('Step 4 Stage Discharge'!E$26:M$126,MATCH('Step 5 Routing'!F24,'Step 4 Stage Discharge'!E$26:E$126,1)+1,9)-INDEX('Step 4 Stage Discharge'!E$26:M$126,MATCH('Step 5 Routing'!F24,'Step 4 Stage Discharge'!E$26:E$126,1),9))*('Step 5 Routing'!F24-INDEX('Step 4 Stage Discharge'!E$26:M$126,MATCH('Step 5 Routing'!F24,'Step 4 Stage Discharge'!E$26:E$126,1),1))/(INDEX('Step 4 Stage Discharge'!E$26:M$126,MATCH('Step 5 Routing'!F24,'Step 4 Stage Discharge'!E$26:E$126,1)+1,1)-INDEX('Step 4 Stage Discharge'!E$26:M$126,MATCH('Step 5 Routing'!F24,'Step 4 Stage Discharge'!E$26:E$126,1),1))</f>
        <v>9.5182539811505193E-2</v>
      </c>
      <c r="J24" s="149"/>
      <c r="K24" s="6">
        <f t="shared" si="1"/>
        <v>5.7109523886903117</v>
      </c>
      <c r="L24" s="6">
        <f t="shared" si="2"/>
        <v>185.03388855464181</v>
      </c>
      <c r="M24" s="14"/>
    </row>
    <row r="25" spans="1:13">
      <c r="A25">
        <f t="shared" si="3"/>
        <v>12</v>
      </c>
      <c r="B25" s="136">
        <f>IF(C$5=Data!D$3,'Step 2 Inflow Hydrograph'!H69,IF(C$5=Data!D$4,'Step 2 Inflow Hydrograph'!I69,IF(C$5=Data!D$5,'Step 2 Inflow Hydrograph'!J69,'Step 2 Inflow Hydrograph'!K69)))</f>
        <v>0.51035950274386843</v>
      </c>
      <c r="C25" s="127"/>
      <c r="D25" s="6">
        <f t="shared" si="0"/>
        <v>30.621570164632107</v>
      </c>
      <c r="E25" s="6"/>
      <c r="F25" s="6">
        <f t="shared" si="4"/>
        <v>215.65545871927392</v>
      </c>
      <c r="G25" s="149">
        <f>INDEX('Step 4 Stage Discharge'!E$26:F$126,MATCH(F25,'Step 4 Stage Discharge'!E$26:E$126,1),2)+(INDEX('Step 4 Stage Discharge'!E$26:F$126,MATCH(F25,'Step 4 Stage Discharge'!E$26:E$126,1)+1,2)-INDEX('Step 4 Stage Discharge'!E$26:F$126,MATCH(F25,'Step 4 Stage Discharge'!E$26:E$126,1),2))*(F25-INDEX('Step 4 Stage Discharge'!E$26:F$126,MATCH(F25,'Step 4 Stage Discharge'!E$26:E$126,1),1))/(INDEX('Step 4 Stage Discharge'!E$26:F$126,MATCH(F25,'Step 4 Stage Discharge'!E$26:E$126,1)+1,1)-INDEX('Step 4 Stage Discharge'!E$26:F$126,MATCH(F25,'Step 4 Stage Discharge'!E$26:E$126,1),1))</f>
        <v>0.47535258825198706</v>
      </c>
      <c r="H25" s="149"/>
      <c r="I25" s="149">
        <f>INDEX('Step 4 Stage Discharge'!E$26:M$126,MATCH(F25,'Step 4 Stage Discharge'!E$26:E$126,1),9)+(INDEX('Step 4 Stage Discharge'!E$26:M$126,MATCH('Step 5 Routing'!F25,'Step 4 Stage Discharge'!E$26:E$126,1)+1,9)-INDEX('Step 4 Stage Discharge'!E$26:M$126,MATCH('Step 5 Routing'!F25,'Step 4 Stage Discharge'!E$26:E$126,1),9))*('Step 5 Routing'!F25-INDEX('Step 4 Stage Discharge'!E$26:M$126,MATCH('Step 5 Routing'!F25,'Step 4 Stage Discharge'!E$26:E$126,1),1))/(INDEX('Step 4 Stage Discharge'!E$26:M$126,MATCH('Step 5 Routing'!F25,'Step 4 Stage Discharge'!E$26:E$126,1)+1,1)-INDEX('Step 4 Stage Discharge'!E$26:M$126,MATCH('Step 5 Routing'!F25,'Step 4 Stage Discharge'!E$26:E$126,1),1))</f>
        <v>0.100847150602296</v>
      </c>
      <c r="J25" s="149"/>
      <c r="K25" s="6">
        <f t="shared" si="1"/>
        <v>6.0508290361377597</v>
      </c>
      <c r="L25" s="6">
        <f t="shared" si="2"/>
        <v>209.60462968313615</v>
      </c>
      <c r="M25" s="14"/>
    </row>
    <row r="26" spans="1:13">
      <c r="A26">
        <f t="shared" si="3"/>
        <v>13</v>
      </c>
      <c r="B26" s="136">
        <f>IF(C$5=Data!D$3,'Step 2 Inflow Hydrograph'!H70,IF(C$5=Data!D$4,'Step 2 Inflow Hydrograph'!I70,IF(C$5=Data!D$5,'Step 2 Inflow Hydrograph'!J70,'Step 2 Inflow Hydrograph'!K70)))</f>
        <v>0.47194534662336213</v>
      </c>
      <c r="C26" s="127"/>
      <c r="D26" s="6">
        <f t="shared" si="0"/>
        <v>28.316720797401729</v>
      </c>
      <c r="E26" s="6"/>
      <c r="F26" s="6">
        <f t="shared" si="4"/>
        <v>237.92135048053788</v>
      </c>
      <c r="G26" s="149">
        <f>INDEX('Step 4 Stage Discharge'!E$26:F$126,MATCH(F26,'Step 4 Stage Discharge'!E$26:E$126,1),2)+(INDEX('Step 4 Stage Discharge'!E$26:F$126,MATCH(F26,'Step 4 Stage Discharge'!E$26:E$126,1)+1,2)-INDEX('Step 4 Stage Discharge'!E$26:F$126,MATCH(F26,'Step 4 Stage Discharge'!E$26:E$126,1),2))*(F26-INDEX('Step 4 Stage Discharge'!E$26:F$126,MATCH(F26,'Step 4 Stage Discharge'!E$26:E$126,1),1))/(INDEX('Step 4 Stage Discharge'!E$26:F$126,MATCH(F26,'Step 4 Stage Discharge'!E$26:E$126,1)+1,1)-INDEX('Step 4 Stage Discharge'!E$26:F$126,MATCH(F26,'Step 4 Stage Discharge'!E$26:E$126,1),1))</f>
        <v>0.51705939303364024</v>
      </c>
      <c r="H26" s="149"/>
      <c r="I26" s="149">
        <f>INDEX('Step 4 Stage Discharge'!E$26:M$126,MATCH(F26,'Step 4 Stage Discharge'!E$26:E$126,1),9)+(INDEX('Step 4 Stage Discharge'!E$26:M$126,MATCH('Step 5 Routing'!F26,'Step 4 Stage Discharge'!E$26:E$126,1)+1,9)-INDEX('Step 4 Stage Discharge'!E$26:M$126,MATCH('Step 5 Routing'!F26,'Step 4 Stage Discharge'!E$26:E$126,1),9))*('Step 5 Routing'!F26-INDEX('Step 4 Stage Discharge'!E$26:M$126,MATCH('Step 5 Routing'!F26,'Step 4 Stage Discharge'!E$26:E$126,1),1))/(INDEX('Step 4 Stage Discharge'!E$26:M$126,MATCH('Step 5 Routing'!F26,'Step 4 Stage Discharge'!E$26:E$126,1)+1,1)-INDEX('Step 4 Stage Discharge'!E$26:M$126,MATCH('Step 5 Routing'!F26,'Step 4 Stage Discharge'!E$26:E$126,1),1))</f>
        <v>0.10557418012954492</v>
      </c>
      <c r="J26" s="149"/>
      <c r="K26" s="6">
        <f t="shared" si="1"/>
        <v>6.3344508077726953</v>
      </c>
      <c r="L26" s="6">
        <f t="shared" si="2"/>
        <v>231.58689967276518</v>
      </c>
      <c r="M26" s="14"/>
    </row>
    <row r="27" spans="1:13">
      <c r="A27">
        <f t="shared" si="3"/>
        <v>14</v>
      </c>
      <c r="B27" s="136">
        <f>IF(C$5=Data!D$3,'Step 2 Inflow Hydrograph'!H71,IF(C$5=Data!D$4,'Step 2 Inflow Hydrograph'!I71,IF(C$5=Data!D$5,'Step 2 Inflow Hydrograph'!J71,'Step 2 Inflow Hydrograph'!K71)))</f>
        <v>0.42804345391421222</v>
      </c>
      <c r="C27" s="127"/>
      <c r="D27" s="6">
        <f t="shared" si="0"/>
        <v>25.682607234852732</v>
      </c>
      <c r="E27" s="6"/>
      <c r="F27" s="6">
        <f t="shared" si="4"/>
        <v>257.26950690761794</v>
      </c>
      <c r="G27" s="149">
        <f>INDEX('Step 4 Stage Discharge'!E$26:F$126,MATCH(F27,'Step 4 Stage Discharge'!E$26:E$126,1),2)+(INDEX('Step 4 Stage Discharge'!E$26:F$126,MATCH(F27,'Step 4 Stage Discharge'!E$26:E$126,1)+1,2)-INDEX('Step 4 Stage Discharge'!E$26:F$126,MATCH(F27,'Step 4 Stage Discharge'!E$26:E$126,1),2))*(F27-INDEX('Step 4 Stage Discharge'!E$26:F$126,MATCH(F27,'Step 4 Stage Discharge'!E$26:E$126,1),1))/(INDEX('Step 4 Stage Discharge'!E$26:F$126,MATCH(F27,'Step 4 Stage Discharge'!E$26:E$126,1)+1,1)-INDEX('Step 4 Stage Discharge'!E$26:F$126,MATCH(F27,'Step 4 Stage Discharge'!E$26:E$126,1),1))</f>
        <v>0.55201920155322692</v>
      </c>
      <c r="H27" s="149"/>
      <c r="I27" s="149">
        <f>INDEX('Step 4 Stage Discharge'!E$26:M$126,MATCH(F27,'Step 4 Stage Discharge'!E$26:E$126,1),9)+(INDEX('Step 4 Stage Discharge'!E$26:M$126,MATCH('Step 5 Routing'!F27,'Step 4 Stage Discharge'!E$26:E$126,1)+1,9)-INDEX('Step 4 Stage Discharge'!E$26:M$126,MATCH('Step 5 Routing'!F27,'Step 4 Stage Discharge'!E$26:E$126,1),9))*('Step 5 Routing'!F27-INDEX('Step 4 Stage Discharge'!E$26:M$126,MATCH('Step 5 Routing'!F27,'Step 4 Stage Discharge'!E$26:E$126,1),1))/(INDEX('Step 4 Stage Discharge'!E$26:M$126,MATCH('Step 5 Routing'!F27,'Step 4 Stage Discharge'!E$26:E$126,1)+1,1)-INDEX('Step 4 Stage Discharge'!E$26:M$126,MATCH('Step 5 Routing'!F27,'Step 4 Stage Discharge'!E$26:E$126,1),1))</f>
        <v>0.1092849733404985</v>
      </c>
      <c r="J27" s="149"/>
      <c r="K27" s="6">
        <f t="shared" si="1"/>
        <v>6.5570984004299095</v>
      </c>
      <c r="L27" s="6">
        <f t="shared" si="2"/>
        <v>250.71240850718803</v>
      </c>
      <c r="M27" s="14"/>
    </row>
    <row r="28" spans="1:13">
      <c r="A28">
        <f t="shared" si="3"/>
        <v>15</v>
      </c>
      <c r="B28" s="136">
        <f>IF(C$5=Data!D$3,'Step 2 Inflow Hydrograph'!H72,IF(C$5=Data!D$4,'Step 2 Inflow Hydrograph'!I72,IF(C$5=Data!D$5,'Step 2 Inflow Hydrograph'!J72,'Step 2 Inflow Hydrograph'!K72)))</f>
        <v>0.37316608802777473</v>
      </c>
      <c r="C28" s="127"/>
      <c r="D28" s="6">
        <f t="shared" si="0"/>
        <v>22.389965281666484</v>
      </c>
      <c r="E28" s="6"/>
      <c r="F28" s="6">
        <f t="shared" si="4"/>
        <v>273.10237378885449</v>
      </c>
      <c r="G28" s="149">
        <f>INDEX('Step 4 Stage Discharge'!E$26:F$126,MATCH(F28,'Step 4 Stage Discharge'!E$26:E$126,1),2)+(INDEX('Step 4 Stage Discharge'!E$26:F$126,MATCH(F28,'Step 4 Stage Discharge'!E$26:E$126,1)+1,2)-INDEX('Step 4 Stage Discharge'!E$26:F$126,MATCH(F28,'Step 4 Stage Discharge'!E$26:E$126,1),2))*(F28-INDEX('Step 4 Stage Discharge'!E$26:F$126,MATCH(F28,'Step 4 Stage Discharge'!E$26:E$126,1),1))/(INDEX('Step 4 Stage Discharge'!E$26:F$126,MATCH(F28,'Step 4 Stage Discharge'!E$26:E$126,1)+1,1)-INDEX('Step 4 Stage Discharge'!E$26:F$126,MATCH(F28,'Step 4 Stage Discharge'!E$26:E$126,1),1))</f>
        <v>0.58062730158437137</v>
      </c>
      <c r="H28" s="149"/>
      <c r="I28" s="149">
        <f>INDEX('Step 4 Stage Discharge'!E$26:M$126,MATCH(F28,'Step 4 Stage Discharge'!E$26:E$126,1),9)+(INDEX('Step 4 Stage Discharge'!E$26:M$126,MATCH('Step 5 Routing'!F28,'Step 4 Stage Discharge'!E$26:E$126,1)+1,9)-INDEX('Step 4 Stage Discharge'!E$26:M$126,MATCH('Step 5 Routing'!F28,'Step 4 Stage Discharge'!E$26:E$126,1),9))*('Step 5 Routing'!F28-INDEX('Step 4 Stage Discharge'!E$26:M$126,MATCH('Step 5 Routing'!F28,'Step 4 Stage Discharge'!E$26:E$126,1),1))/(INDEX('Step 4 Stage Discharge'!E$26:M$126,MATCH('Step 5 Routing'!F28,'Step 4 Stage Discharge'!E$26:E$126,1)+1,1)-INDEX('Step 4 Stage Discharge'!E$26:M$126,MATCH('Step 5 Routing'!F28,'Step 4 Stage Discharge'!E$26:E$126,1),1))</f>
        <v>0.11232156729994124</v>
      </c>
      <c r="J28" s="149"/>
      <c r="K28" s="6">
        <f t="shared" si="1"/>
        <v>6.7392940379964745</v>
      </c>
      <c r="L28" s="6">
        <f t="shared" si="2"/>
        <v>266.36307975085799</v>
      </c>
      <c r="M28" s="14"/>
    </row>
    <row r="29" spans="1:13">
      <c r="A29">
        <f t="shared" si="3"/>
        <v>16</v>
      </c>
      <c r="B29" s="136">
        <f>IF(C$5=Data!D$3,'Step 2 Inflow Hydrograph'!H73,IF(C$5=Data!D$4,'Step 2 Inflow Hydrograph'!I73,IF(C$5=Data!D$5,'Step 2 Inflow Hydrograph'!J73,'Step 2 Inflow Hydrograph'!K73)))</f>
        <v>0.30731324896404982</v>
      </c>
      <c r="C29" s="127"/>
      <c r="D29" s="6">
        <f t="shared" si="0"/>
        <v>18.438794937842989</v>
      </c>
      <c r="E29" s="6"/>
      <c r="F29" s="6">
        <f t="shared" si="4"/>
        <v>284.80187468870099</v>
      </c>
      <c r="G29" s="149">
        <f>INDEX('Step 4 Stage Discharge'!E$26:F$126,MATCH(F29,'Step 4 Stage Discharge'!E$26:E$126,1),2)+(INDEX('Step 4 Stage Discharge'!E$26:F$126,MATCH(F29,'Step 4 Stage Discharge'!E$26:E$126,1)+1,2)-INDEX('Step 4 Stage Discharge'!E$26:F$126,MATCH(F29,'Step 4 Stage Discharge'!E$26:E$126,1),2))*(F29-INDEX('Step 4 Stage Discharge'!E$26:F$126,MATCH(F29,'Step 4 Stage Discharge'!E$26:E$126,1),1))/(INDEX('Step 4 Stage Discharge'!E$26:F$126,MATCH(F29,'Step 4 Stage Discharge'!E$26:E$126,1)+1,1)-INDEX('Step 4 Stage Discharge'!E$26:F$126,MATCH(F29,'Step 4 Stage Discharge'!E$26:E$126,1),1))</f>
        <v>0.60166509107870347</v>
      </c>
      <c r="H29" s="149"/>
      <c r="I29" s="149">
        <f>INDEX('Step 4 Stage Discharge'!E$26:M$126,MATCH(F29,'Step 4 Stage Discharge'!E$26:E$126,1),9)+(INDEX('Step 4 Stage Discharge'!E$26:M$126,MATCH('Step 5 Routing'!F29,'Step 4 Stage Discharge'!E$26:E$126,1)+1,9)-INDEX('Step 4 Stage Discharge'!E$26:M$126,MATCH('Step 5 Routing'!F29,'Step 4 Stage Discharge'!E$26:E$126,1),9))*('Step 5 Routing'!F29-INDEX('Step 4 Stage Discharge'!E$26:M$126,MATCH('Step 5 Routing'!F29,'Step 4 Stage Discharge'!E$26:E$126,1),1))/(INDEX('Step 4 Stage Discharge'!E$26:M$126,MATCH('Step 5 Routing'!F29,'Step 4 Stage Discharge'!E$26:E$126,1)+1,1)-INDEX('Step 4 Stage Discharge'!E$26:M$126,MATCH('Step 5 Routing'!F29,'Step 4 Stage Discharge'!E$26:E$126,1),1))</f>
        <v>0.11453955058576572</v>
      </c>
      <c r="J29" s="149"/>
      <c r="K29" s="6">
        <f t="shared" si="1"/>
        <v>6.8723730351459427</v>
      </c>
      <c r="L29" s="6">
        <f t="shared" si="2"/>
        <v>277.92950165355506</v>
      </c>
      <c r="M29" s="14"/>
    </row>
    <row r="30" spans="1:13">
      <c r="A30">
        <f t="shared" si="3"/>
        <v>17</v>
      </c>
      <c r="B30" s="136">
        <f>IF(C$5=Data!D$3,'Step 2 Inflow Hydrograph'!H74,IF(C$5=Data!D$4,'Step 2 Inflow Hydrograph'!I74,IF(C$5=Data!D$5,'Step 2 Inflow Hydrograph'!J74,'Step 2 Inflow Hydrograph'!K74)))</f>
        <v>0.26066748796057798</v>
      </c>
      <c r="C30" s="127"/>
      <c r="D30" s="6">
        <f t="shared" si="0"/>
        <v>15.640049277634679</v>
      </c>
      <c r="E30" s="6"/>
      <c r="F30" s="6">
        <f t="shared" si="4"/>
        <v>293.56955093118972</v>
      </c>
      <c r="G30" s="149">
        <f>INDEX('Step 4 Stage Discharge'!E$26:F$126,MATCH(F30,'Step 4 Stage Discharge'!E$26:E$126,1),2)+(INDEX('Step 4 Stage Discharge'!E$26:F$126,MATCH(F30,'Step 4 Stage Discharge'!E$26:E$126,1)+1,2)-INDEX('Step 4 Stage Discharge'!E$26:F$126,MATCH(F30,'Step 4 Stage Discharge'!E$26:E$126,1),2))*(F30-INDEX('Step 4 Stage Discharge'!E$26:F$126,MATCH(F30,'Step 4 Stage Discharge'!E$26:E$126,1),1))/(INDEX('Step 4 Stage Discharge'!E$26:F$126,MATCH(F30,'Step 4 Stage Discharge'!E$26:E$126,1)+1,1)-INDEX('Step 4 Stage Discharge'!E$26:F$126,MATCH(F30,'Step 4 Stage Discharge'!E$26:E$126,1),1))</f>
        <v>0.61659438586566828</v>
      </c>
      <c r="H30" s="149"/>
      <c r="I30" s="149">
        <f>INDEX('Step 4 Stage Discharge'!E$26:M$126,MATCH(F30,'Step 4 Stage Discharge'!E$26:E$126,1),9)+(INDEX('Step 4 Stage Discharge'!E$26:M$126,MATCH('Step 5 Routing'!F30,'Step 4 Stage Discharge'!E$26:E$126,1)+1,9)-INDEX('Step 4 Stage Discharge'!E$26:M$126,MATCH('Step 5 Routing'!F30,'Step 4 Stage Discharge'!E$26:E$126,1),9))*('Step 5 Routing'!F30-INDEX('Step 4 Stage Discharge'!E$26:M$126,MATCH('Step 5 Routing'!F30,'Step 4 Stage Discharge'!E$26:E$126,1),1))/(INDEX('Step 4 Stage Discharge'!E$26:M$126,MATCH('Step 5 Routing'!F30,'Step 4 Stage Discharge'!E$26:E$126,1)+1,1)-INDEX('Step 4 Stage Discharge'!E$26:M$126,MATCH('Step 5 Routing'!F30,'Step 4 Stage Discharge'!E$26:E$126,1),1))</f>
        <v>0.11598915416803798</v>
      </c>
      <c r="J30" s="149"/>
      <c r="K30" s="6">
        <f t="shared" si="1"/>
        <v>6.9593492500822789</v>
      </c>
      <c r="L30" s="6">
        <f t="shared" si="2"/>
        <v>286.61020168110747</v>
      </c>
      <c r="M30" s="14"/>
    </row>
    <row r="31" spans="1:13">
      <c r="A31">
        <f t="shared" si="3"/>
        <v>18</v>
      </c>
      <c r="B31" s="136">
        <f>IF(C$5=Data!D$3,'Step 2 Inflow Hydrograph'!H75,IF(C$5=Data!D$4,'Step 2 Inflow Hydrograph'!I75,IF(C$5=Data!D$5,'Step 2 Inflow Hydrograph'!J75,'Step 2 Inflow Hydrograph'!K75)))</f>
        <v>0.21402172695710611</v>
      </c>
      <c r="C31" s="127"/>
      <c r="D31" s="6">
        <f t="shared" si="0"/>
        <v>12.841303617426366</v>
      </c>
      <c r="E31" s="6"/>
      <c r="F31" s="6">
        <f t="shared" si="4"/>
        <v>299.45150529853385</v>
      </c>
      <c r="G31" s="149">
        <f>INDEX('Step 4 Stage Discharge'!E$26:F$126,MATCH(F31,'Step 4 Stage Discharge'!E$26:E$126,1),2)+(INDEX('Step 4 Stage Discharge'!E$26:F$126,MATCH(F31,'Step 4 Stage Discharge'!E$26:E$126,1)+1,2)-INDEX('Step 4 Stage Discharge'!E$26:F$126,MATCH(F31,'Step 4 Stage Discharge'!E$26:E$126,1),2))*(F31-INDEX('Step 4 Stage Discharge'!E$26:F$126,MATCH(F31,'Step 4 Stage Discharge'!E$26:E$126,1),1))/(INDEX('Step 4 Stage Discharge'!E$26:F$126,MATCH(F31,'Step 4 Stage Discharge'!E$26:E$126,1)+1,1)-INDEX('Step 4 Stage Discharge'!E$26:F$126,MATCH(F31,'Step 4 Stage Discharge'!E$26:E$126,1),1))</f>
        <v>0.62660997360464143</v>
      </c>
      <c r="H31" s="149"/>
      <c r="I31" s="149">
        <f>INDEX('Step 4 Stage Discharge'!E$26:M$126,MATCH(F31,'Step 4 Stage Discharge'!E$26:E$126,1),9)+(INDEX('Step 4 Stage Discharge'!E$26:M$126,MATCH('Step 5 Routing'!F31,'Step 4 Stage Discharge'!E$26:E$126,1)+1,9)-INDEX('Step 4 Stage Discharge'!E$26:M$126,MATCH('Step 5 Routing'!F31,'Step 4 Stage Discharge'!E$26:E$126,1),9))*('Step 5 Routing'!F31-INDEX('Step 4 Stage Discharge'!E$26:M$126,MATCH('Step 5 Routing'!F31,'Step 4 Stage Discharge'!E$26:E$126,1),1))/(INDEX('Step 4 Stage Discharge'!E$26:M$126,MATCH('Step 5 Routing'!F31,'Step 4 Stage Discharge'!E$26:E$126,1)+1,1)-INDEX('Step 4 Stage Discharge'!E$26:M$126,MATCH('Step 5 Routing'!F31,'Step 4 Stage Discharge'!E$26:E$126,1),1))</f>
        <v>0.11696164697979854</v>
      </c>
      <c r="J31" s="149"/>
      <c r="K31" s="6">
        <f t="shared" si="1"/>
        <v>7.0176988187879124</v>
      </c>
      <c r="L31" s="6">
        <f t="shared" si="2"/>
        <v>292.43380647974595</v>
      </c>
    </row>
    <row r="32" spans="1:13">
      <c r="A32">
        <f t="shared" si="3"/>
        <v>19</v>
      </c>
      <c r="B32" s="136">
        <f>IF(C$5=Data!D$3,'Step 2 Inflow Hydrograph'!H76,IF(C$5=Data!D$4,'Step 2 Inflow Hydrograph'!I76,IF(C$5=Data!D$5,'Step 2 Inflow Hydrograph'!J76,'Step 2 Inflow Hydrograph'!K76)))</f>
        <v>0.18383917571956551</v>
      </c>
      <c r="C32" s="127"/>
      <c r="D32" s="6">
        <f t="shared" si="0"/>
        <v>11.030350543173931</v>
      </c>
      <c r="E32" s="6"/>
      <c r="F32" s="6">
        <f t="shared" si="4"/>
        <v>303.46415702291989</v>
      </c>
      <c r="G32" s="149">
        <f>INDEX('Step 4 Stage Discharge'!E$26:F$126,MATCH(F32,'Step 4 Stage Discharge'!E$26:E$126,1),2)+(INDEX('Step 4 Stage Discharge'!E$26:F$126,MATCH(F32,'Step 4 Stage Discharge'!E$26:E$126,1)+1,2)-INDEX('Step 4 Stage Discharge'!E$26:F$126,MATCH(F32,'Step 4 Stage Discharge'!E$26:E$126,1),2))*(F32-INDEX('Step 4 Stage Discharge'!E$26:F$126,MATCH(F32,'Step 4 Stage Discharge'!E$26:E$126,1),1))/(INDEX('Step 4 Stage Discharge'!E$26:F$126,MATCH(F32,'Step 4 Stage Discharge'!E$26:E$126,1)+1,1)-INDEX('Step 4 Stage Discharge'!E$26:F$126,MATCH(F32,'Step 4 Stage Discharge'!E$26:E$126,1),1))</f>
        <v>0.63344257768512435</v>
      </c>
      <c r="H32" s="149"/>
      <c r="I32" s="149">
        <f>INDEX('Step 4 Stage Discharge'!E$26:M$126,MATCH(F32,'Step 4 Stage Discharge'!E$26:E$126,1),9)+(INDEX('Step 4 Stage Discharge'!E$26:M$126,MATCH('Step 5 Routing'!F32,'Step 4 Stage Discharge'!E$26:E$126,1)+1,9)-INDEX('Step 4 Stage Discharge'!E$26:M$126,MATCH('Step 5 Routing'!F32,'Step 4 Stage Discharge'!E$26:E$126,1),9))*('Step 5 Routing'!F32-INDEX('Step 4 Stage Discharge'!E$26:M$126,MATCH('Step 5 Routing'!F32,'Step 4 Stage Discharge'!E$26:E$126,1),1))/(INDEX('Step 4 Stage Discharge'!E$26:M$126,MATCH('Step 5 Routing'!F32,'Step 4 Stage Discharge'!E$26:E$126,1)+1,1)-INDEX('Step 4 Stage Discharge'!E$26:M$126,MATCH('Step 5 Routing'!F32,'Step 4 Stage Discharge'!E$26:E$126,1),1))</f>
        <v>0.11762507867517669</v>
      </c>
      <c r="J32" s="149"/>
      <c r="K32" s="6">
        <f t="shared" si="1"/>
        <v>7.0575047205106012</v>
      </c>
      <c r="L32" s="6">
        <f t="shared" si="2"/>
        <v>296.40665230240927</v>
      </c>
    </row>
    <row r="33" spans="1:12">
      <c r="A33">
        <f t="shared" si="3"/>
        <v>20</v>
      </c>
      <c r="B33" s="136">
        <f>IF(C$5=Data!D$3,'Step 2 Inflow Hydrograph'!H77,IF(C$5=Data!D$4,'Step 2 Inflow Hydrograph'!I77,IF(C$5=Data!D$5,'Step 2 Inflow Hydrograph'!J77,'Step 2 Inflow Hydrograph'!K77)))</f>
        <v>0.15365662448202491</v>
      </c>
      <c r="C33" s="127"/>
      <c r="D33" s="6">
        <f t="shared" si="0"/>
        <v>9.2193974689214944</v>
      </c>
      <c r="E33" s="6"/>
      <c r="F33" s="6">
        <f t="shared" si="4"/>
        <v>305.62604977133077</v>
      </c>
      <c r="G33" s="149">
        <f>INDEX('Step 4 Stage Discharge'!E$26:F$126,MATCH(F33,'Step 4 Stage Discharge'!E$26:E$126,1),2)+(INDEX('Step 4 Stage Discharge'!E$26:F$126,MATCH(F33,'Step 4 Stage Discharge'!E$26:E$126,1)+1,2)-INDEX('Step 4 Stage Discharge'!E$26:F$126,MATCH(F33,'Step 4 Stage Discharge'!E$26:E$126,1),2))*(F33-INDEX('Step 4 Stage Discharge'!E$26:F$126,MATCH(F33,'Step 4 Stage Discharge'!E$26:E$126,1),1))/(INDEX('Step 4 Stage Discharge'!E$26:F$126,MATCH(F33,'Step 4 Stage Discharge'!E$26:E$126,1)+1,1)-INDEX('Step 4 Stage Discharge'!E$26:F$126,MATCH(F33,'Step 4 Stage Discharge'!E$26:E$126,1),1))</f>
        <v>0.63712377361962047</v>
      </c>
      <c r="H33" s="149"/>
      <c r="I33" s="149">
        <f>INDEX('Step 4 Stage Discharge'!E$26:M$126,MATCH(F33,'Step 4 Stage Discharge'!E$26:E$126,1),9)+(INDEX('Step 4 Stage Discharge'!E$26:M$126,MATCH('Step 5 Routing'!F33,'Step 4 Stage Discharge'!E$26:E$126,1)+1,9)-INDEX('Step 4 Stage Discharge'!E$26:M$126,MATCH('Step 5 Routing'!F33,'Step 4 Stage Discharge'!E$26:E$126,1),9))*('Step 5 Routing'!F33-INDEX('Step 4 Stage Discharge'!E$26:M$126,MATCH('Step 5 Routing'!F33,'Step 4 Stage Discharge'!E$26:E$126,1),1))/(INDEX('Step 4 Stage Discharge'!E$26:M$126,MATCH('Step 5 Routing'!F33,'Step 4 Stage Discharge'!E$26:E$126,1)+1,1)-INDEX('Step 4 Stage Discharge'!E$26:M$126,MATCH('Step 5 Routing'!F33,'Step 4 Stage Discharge'!E$26:E$126,1),1))</f>
        <v>0.11798251517099502</v>
      </c>
      <c r="J33" s="149"/>
      <c r="K33" s="6">
        <f t="shared" si="1"/>
        <v>7.0789509102597012</v>
      </c>
      <c r="L33" s="6">
        <f t="shared" si="2"/>
        <v>298.54709886107105</v>
      </c>
    </row>
    <row r="34" spans="1:12">
      <c r="A34">
        <f t="shared" si="3"/>
        <v>21</v>
      </c>
      <c r="B34" s="136">
        <f>IF(C$5=Data!D$3,'Step 2 Inflow Hydrograph'!H78,IF(C$5=Data!D$4,'Step 2 Inflow Hydrograph'!I78,IF(C$5=Data!D$5,'Step 2 Inflow Hydrograph'!J78,'Step 2 Inflow Hydrograph'!K78)))</f>
        <v>0.13362638593347523</v>
      </c>
      <c r="C34" s="127"/>
      <c r="D34" s="6">
        <f t="shared" si="0"/>
        <v>8.0175831560085129</v>
      </c>
      <c r="E34" s="6"/>
      <c r="F34" s="6">
        <f t="shared" si="4"/>
        <v>306.56468201707958</v>
      </c>
      <c r="G34" s="149">
        <f>INDEX('Step 4 Stage Discharge'!E$26:F$126,MATCH(F34,'Step 4 Stage Discharge'!E$26:E$126,1),2)+(INDEX('Step 4 Stage Discharge'!E$26:F$126,MATCH(F34,'Step 4 Stage Discharge'!E$26:E$126,1)+1,2)-INDEX('Step 4 Stage Discharge'!E$26:F$126,MATCH(F34,'Step 4 Stage Discharge'!E$26:E$126,1),2))*(F34-INDEX('Step 4 Stage Discharge'!E$26:F$126,MATCH(F34,'Step 4 Stage Discharge'!E$26:E$126,1),1))/(INDEX('Step 4 Stage Discharge'!E$26:F$126,MATCH(F34,'Step 4 Stage Discharge'!E$26:E$126,1)+1,1)-INDEX('Step 4 Stage Discharge'!E$26:F$126,MATCH(F34,'Step 4 Stage Discharge'!E$26:E$126,1),1))</f>
        <v>0.63872204402853761</v>
      </c>
      <c r="H34" s="149"/>
      <c r="I34" s="149">
        <f>INDEX('Step 4 Stage Discharge'!E$26:M$126,MATCH(F34,'Step 4 Stage Discharge'!E$26:E$126,1),9)+(INDEX('Step 4 Stage Discharge'!E$26:M$126,MATCH('Step 5 Routing'!F34,'Step 4 Stage Discharge'!E$26:E$126,1)+1,9)-INDEX('Step 4 Stage Discharge'!E$26:M$126,MATCH('Step 5 Routing'!F34,'Step 4 Stage Discharge'!E$26:E$126,1),9))*('Step 5 Routing'!F34-INDEX('Step 4 Stage Discharge'!E$26:M$126,MATCH('Step 5 Routing'!F34,'Step 4 Stage Discharge'!E$26:E$126,1),1))/(INDEX('Step 4 Stage Discharge'!E$26:M$126,MATCH('Step 5 Routing'!F34,'Step 4 Stage Discharge'!E$26:E$126,1)+1,1)-INDEX('Step 4 Stage Discharge'!E$26:M$126,MATCH('Step 5 Routing'!F34,'Step 4 Stage Discharge'!E$26:E$126,1),1))</f>
        <v>0.1181377039152235</v>
      </c>
      <c r="J34" s="149"/>
      <c r="K34" s="6">
        <f t="shared" si="1"/>
        <v>7.0882622349134099</v>
      </c>
      <c r="L34" s="6">
        <f t="shared" si="2"/>
        <v>299.47641978216615</v>
      </c>
    </row>
    <row r="35" spans="1:12">
      <c r="A35">
        <f t="shared" si="3"/>
        <v>22</v>
      </c>
      <c r="B35" s="136">
        <f>IF(C$5=Data!D$3,'Step 2 Inflow Hydrograph'!H79,IF(C$5=Data!D$4,'Step 2 Inflow Hydrograph'!I79,IF(C$5=Data!D$5,'Step 2 Inflow Hydrograph'!J79,'Step 2 Inflow Hydrograph'!K79)))</f>
        <v>0.11359614738492553</v>
      </c>
      <c r="C35" s="127"/>
      <c r="D35" s="6">
        <f t="shared" si="0"/>
        <v>6.8157688430955314</v>
      </c>
      <c r="E35" s="6"/>
      <c r="F35" s="6">
        <f t="shared" si="4"/>
        <v>306.2921886252617</v>
      </c>
      <c r="G35" s="149">
        <f>INDEX('Step 4 Stage Discharge'!E$26:F$126,MATCH(F35,'Step 4 Stage Discharge'!E$26:E$126,1),2)+(INDEX('Step 4 Stage Discharge'!E$26:F$126,MATCH(F35,'Step 4 Stage Discharge'!E$26:E$126,1)+1,2)-INDEX('Step 4 Stage Discharge'!E$26:F$126,MATCH(F35,'Step 4 Stage Discharge'!E$26:E$126,1),2))*(F35-INDEX('Step 4 Stage Discharge'!E$26:F$126,MATCH(F35,'Step 4 Stage Discharge'!E$26:E$126,1),1))/(INDEX('Step 4 Stage Discharge'!E$26:F$126,MATCH(F35,'Step 4 Stage Discharge'!E$26:E$126,1)+1,1)-INDEX('Step 4 Stage Discharge'!E$26:F$126,MATCH(F35,'Step 4 Stage Discharge'!E$26:E$126,1),1))</f>
        <v>0.63825805173896888</v>
      </c>
      <c r="H35" s="149"/>
      <c r="I35" s="149">
        <f>INDEX('Step 4 Stage Discharge'!E$26:M$126,MATCH(F35,'Step 4 Stage Discharge'!E$26:E$126,1),9)+(INDEX('Step 4 Stage Discharge'!E$26:M$126,MATCH('Step 5 Routing'!F35,'Step 4 Stage Discharge'!E$26:E$126,1)+1,9)-INDEX('Step 4 Stage Discharge'!E$26:M$126,MATCH('Step 5 Routing'!F35,'Step 4 Stage Discharge'!E$26:E$126,1),9))*('Step 5 Routing'!F35-INDEX('Step 4 Stage Discharge'!E$26:M$126,MATCH('Step 5 Routing'!F35,'Step 4 Stage Discharge'!E$26:E$126,1),1))/(INDEX('Step 4 Stage Discharge'!E$26:M$126,MATCH('Step 5 Routing'!F35,'Step 4 Stage Discharge'!E$26:E$126,1)+1,1)-INDEX('Step 4 Stage Discharge'!E$26:M$126,MATCH('Step 5 Routing'!F35,'Step 4 Stage Discharge'!E$26:E$126,1),1))</f>
        <v>0.11809265122554838</v>
      </c>
      <c r="J35" s="149"/>
      <c r="K35" s="6">
        <f t="shared" si="1"/>
        <v>7.0855590735329024</v>
      </c>
      <c r="L35" s="6">
        <f t="shared" si="2"/>
        <v>299.20662955172878</v>
      </c>
    </row>
    <row r="36" spans="1:12">
      <c r="A36">
        <f t="shared" si="3"/>
        <v>23</v>
      </c>
      <c r="B36" s="136">
        <f>IF(C$5=Data!D$3,'Step 2 Inflow Hydrograph'!H80,IF(C$5=Data!D$4,'Step 2 Inflow Hydrograph'!I80,IF(C$5=Data!D$5,'Step 2 Inflow Hydrograph'!J80,'Step 2 Inflow Hydrograph'!K80)))</f>
        <v>9.7132937618994303E-2</v>
      </c>
      <c r="C36" s="127"/>
      <c r="D36" s="6">
        <f t="shared" si="0"/>
        <v>5.8279762571396585</v>
      </c>
      <c r="E36" s="6"/>
      <c r="F36" s="6">
        <f t="shared" si="4"/>
        <v>305.03460580886843</v>
      </c>
      <c r="G36" s="149">
        <f>INDEX('Step 4 Stage Discharge'!E$26:F$126,MATCH(F36,'Step 4 Stage Discharge'!E$26:E$126,1),2)+(INDEX('Step 4 Stage Discharge'!E$26:F$126,MATCH(F36,'Step 4 Stage Discharge'!E$26:E$126,1)+1,2)-INDEX('Step 4 Stage Discharge'!E$26:F$126,MATCH(F36,'Step 4 Stage Discharge'!E$26:E$126,1),2))*(F36-INDEX('Step 4 Stage Discharge'!E$26:F$126,MATCH(F36,'Step 4 Stage Discharge'!E$26:E$126,1),1))/(INDEX('Step 4 Stage Discharge'!E$26:F$126,MATCH(F36,'Step 4 Stage Discharge'!E$26:E$126,1)+1,1)-INDEX('Step 4 Stage Discharge'!E$26:F$126,MATCH(F36,'Step 4 Stage Discharge'!E$26:E$126,1),1))</f>
        <v>0.63611668336886729</v>
      </c>
      <c r="H36" s="149"/>
      <c r="I36" s="149">
        <f>INDEX('Step 4 Stage Discharge'!E$26:M$126,MATCH(F36,'Step 4 Stage Discharge'!E$26:E$126,1),9)+(INDEX('Step 4 Stage Discharge'!E$26:M$126,MATCH('Step 5 Routing'!F36,'Step 4 Stage Discharge'!E$26:E$126,1)+1,9)-INDEX('Step 4 Stage Discharge'!E$26:M$126,MATCH('Step 5 Routing'!F36,'Step 4 Stage Discharge'!E$26:E$126,1),9))*('Step 5 Routing'!F36-INDEX('Step 4 Stage Discharge'!E$26:M$126,MATCH('Step 5 Routing'!F36,'Step 4 Stage Discharge'!E$26:E$126,1),1))/(INDEX('Step 4 Stage Discharge'!E$26:M$126,MATCH('Step 5 Routing'!F36,'Step 4 Stage Discharge'!E$26:E$126,1)+1,1)-INDEX('Step 4 Stage Discharge'!E$26:M$126,MATCH('Step 5 Routing'!F36,'Step 4 Stage Discharge'!E$26:E$126,1),1))</f>
        <v>0.11788472879488046</v>
      </c>
      <c r="J36" s="149"/>
      <c r="K36" s="6">
        <f t="shared" si="1"/>
        <v>7.0730837276928273</v>
      </c>
      <c r="L36" s="6">
        <f t="shared" si="2"/>
        <v>297.96152208117559</v>
      </c>
    </row>
    <row r="37" spans="1:12">
      <c r="A37">
        <f t="shared" si="3"/>
        <v>24</v>
      </c>
      <c r="B37" s="136">
        <f>IF(C$5=Data!D$3,'Step 2 Inflow Hydrograph'!H81,IF(C$5=Data!D$4,'Step 2 Inflow Hydrograph'!I81,IF(C$5=Data!D$5,'Step 2 Inflow Hydrograph'!J81,'Step 2 Inflow Hydrograph'!K81)))</f>
        <v>8.0669727853063061E-2</v>
      </c>
      <c r="C37" s="127"/>
      <c r="D37" s="6">
        <f t="shared" si="0"/>
        <v>4.8401836711837838</v>
      </c>
      <c r="E37" s="6"/>
      <c r="F37" s="6">
        <f t="shared" si="4"/>
        <v>302.8017057523594</v>
      </c>
      <c r="G37" s="149">
        <f>INDEX('Step 4 Stage Discharge'!E$26:F$126,MATCH(F37,'Step 4 Stage Discharge'!E$26:E$126,1),2)+(INDEX('Step 4 Stage Discharge'!E$26:F$126,MATCH(F37,'Step 4 Stage Discharge'!E$26:E$126,1)+1,2)-INDEX('Step 4 Stage Discharge'!E$26:F$126,MATCH(F37,'Step 4 Stage Discharge'!E$26:E$126,1),2))*(F37-INDEX('Step 4 Stage Discharge'!E$26:F$126,MATCH(F37,'Step 4 Stage Discharge'!E$26:E$126,1),1))/(INDEX('Step 4 Stage Discharge'!E$26:F$126,MATCH(F37,'Step 4 Stage Discharge'!E$26:E$126,1)+1,1)-INDEX('Step 4 Stage Discharge'!E$26:F$126,MATCH(F37,'Step 4 Stage Discharge'!E$26:E$126,1),1))</f>
        <v>0.63231457865474627</v>
      </c>
      <c r="H37" s="149"/>
      <c r="I37" s="149">
        <f>INDEX('Step 4 Stage Discharge'!E$26:M$126,MATCH(F37,'Step 4 Stage Discharge'!E$26:E$126,1),9)+(INDEX('Step 4 Stage Discharge'!E$26:M$126,MATCH('Step 5 Routing'!F37,'Step 4 Stage Discharge'!E$26:E$126,1)+1,9)-INDEX('Step 4 Stage Discharge'!E$26:M$126,MATCH('Step 5 Routing'!F37,'Step 4 Stage Discharge'!E$26:E$126,1),9))*('Step 5 Routing'!F37-INDEX('Step 4 Stage Discharge'!E$26:M$126,MATCH('Step 5 Routing'!F37,'Step 4 Stage Discharge'!E$26:E$126,1),1))/(INDEX('Step 4 Stage Discharge'!E$26:M$126,MATCH('Step 5 Routing'!F37,'Step 4 Stage Discharge'!E$26:E$126,1)+1,1)-INDEX('Step 4 Stage Discharge'!E$26:M$126,MATCH('Step 5 Routing'!F37,'Step 4 Stage Discharge'!E$26:E$126,1),1))</f>
        <v>0.11751555230714866</v>
      </c>
      <c r="J37" s="149"/>
      <c r="K37" s="6">
        <f t="shared" si="1"/>
        <v>7.0509331384289196</v>
      </c>
      <c r="L37" s="6">
        <f t="shared" si="2"/>
        <v>295.75077261393045</v>
      </c>
    </row>
    <row r="38" spans="1:12">
      <c r="A38">
        <f t="shared" si="3"/>
        <v>25</v>
      </c>
      <c r="B38" s="136">
        <f>IF(C$5=Data!D$3,'Step 2 Inflow Hydrograph'!H82,IF(C$5=Data!D$4,'Step 2 Inflow Hydrograph'!I82,IF(C$5=Data!D$5,'Step 2 Inflow Hydrograph'!J82,'Step 2 Inflow Hydrograph'!K82)))</f>
        <v>6.9694254675775572E-2</v>
      </c>
      <c r="C38" s="127"/>
      <c r="D38" s="6">
        <f t="shared" si="0"/>
        <v>4.1816552805465346</v>
      </c>
      <c r="E38" s="6"/>
      <c r="F38" s="6">
        <f t="shared" si="4"/>
        <v>299.93242789447697</v>
      </c>
      <c r="G38" s="149">
        <f>INDEX('Step 4 Stage Discharge'!E$26:F$126,MATCH(F38,'Step 4 Stage Discharge'!E$26:E$126,1),2)+(INDEX('Step 4 Stage Discharge'!E$26:F$126,MATCH(F38,'Step 4 Stage Discharge'!E$26:E$126,1)+1,2)-INDEX('Step 4 Stage Discharge'!E$26:F$126,MATCH(F38,'Step 4 Stage Discharge'!E$26:E$126,1),2))*(F38-INDEX('Step 4 Stage Discharge'!E$26:F$126,MATCH(F38,'Step 4 Stage Discharge'!E$26:E$126,1),1))/(INDEX('Step 4 Stage Discharge'!E$26:F$126,MATCH(F38,'Step 4 Stage Discharge'!E$26:E$126,1)+1,1)-INDEX('Step 4 Stage Discharge'!E$26:F$126,MATCH(F38,'Step 4 Stage Discharge'!E$26:E$126,1),1))</f>
        <v>0.62742887190859031</v>
      </c>
      <c r="H38" s="149"/>
      <c r="I38" s="149">
        <f>INDEX('Step 4 Stage Discharge'!E$26:M$126,MATCH(F38,'Step 4 Stage Discharge'!E$26:E$126,1),9)+(INDEX('Step 4 Stage Discharge'!E$26:M$126,MATCH('Step 5 Routing'!F38,'Step 4 Stage Discharge'!E$26:E$126,1)+1,9)-INDEX('Step 4 Stage Discharge'!E$26:M$126,MATCH('Step 5 Routing'!F38,'Step 4 Stage Discharge'!E$26:E$126,1),9))*('Step 5 Routing'!F38-INDEX('Step 4 Stage Discharge'!E$26:M$126,MATCH('Step 5 Routing'!F38,'Step 4 Stage Discharge'!E$26:E$126,1),1))/(INDEX('Step 4 Stage Discharge'!E$26:M$126,MATCH('Step 5 Routing'!F38,'Step 4 Stage Discharge'!E$26:E$126,1)+1,1)-INDEX('Step 4 Stage Discharge'!E$26:M$126,MATCH('Step 5 Routing'!F38,'Step 4 Stage Discharge'!E$26:E$126,1),1))</f>
        <v>0.11704116030791351</v>
      </c>
      <c r="J38" s="149"/>
      <c r="K38" s="6">
        <f t="shared" si="1"/>
        <v>7.0224696184748101</v>
      </c>
      <c r="L38" s="6">
        <f t="shared" si="2"/>
        <v>292.90995827600216</v>
      </c>
    </row>
    <row r="39" spans="1:12">
      <c r="A39">
        <f t="shared" si="3"/>
        <v>26</v>
      </c>
      <c r="B39" s="136">
        <f>IF(C$5=Data!D$3,'Step 2 Inflow Hydrograph'!H83,IF(C$5=Data!D$4,'Step 2 Inflow Hydrograph'!I83,IF(C$5=Data!D$5,'Step 2 Inflow Hydrograph'!J83,'Step 2 Inflow Hydrograph'!K83)))</f>
        <v>5.8718781498488075E-2</v>
      </c>
      <c r="C39" s="127"/>
      <c r="D39" s="6">
        <f t="shared" si="0"/>
        <v>3.5231268899092845</v>
      </c>
      <c r="E39" s="6"/>
      <c r="F39" s="6">
        <f t="shared" si="4"/>
        <v>296.43308516591145</v>
      </c>
      <c r="G39" s="149">
        <f>INDEX('Step 4 Stage Discharge'!E$26:F$126,MATCH(F39,'Step 4 Stage Discharge'!E$26:E$126,1),2)+(INDEX('Step 4 Stage Discharge'!E$26:F$126,MATCH(F39,'Step 4 Stage Discharge'!E$26:E$126,1)+1,2)-INDEX('Step 4 Stage Discharge'!E$26:F$126,MATCH(F39,'Step 4 Stage Discharge'!E$26:E$126,1),2))*(F39-INDEX('Step 4 Stage Discharge'!E$26:F$126,MATCH(F39,'Step 4 Stage Discharge'!E$26:E$126,1),1))/(INDEX('Step 4 Stage Discharge'!E$26:F$126,MATCH(F39,'Step 4 Stage Discharge'!E$26:E$126,1)+1,1)-INDEX('Step 4 Stage Discharge'!E$26:F$126,MATCH(F39,'Step 4 Stage Discharge'!E$26:E$126,1),1))</f>
        <v>0.62147031256966256</v>
      </c>
      <c r="H39" s="149"/>
      <c r="I39" s="149">
        <f>INDEX('Step 4 Stage Discharge'!E$26:M$126,MATCH(F39,'Step 4 Stage Discharge'!E$26:E$126,1),9)+(INDEX('Step 4 Stage Discharge'!E$26:M$126,MATCH('Step 5 Routing'!F39,'Step 4 Stage Discharge'!E$26:E$126,1)+1,9)-INDEX('Step 4 Stage Discharge'!E$26:M$126,MATCH('Step 5 Routing'!F39,'Step 4 Stage Discharge'!E$26:E$126,1),9))*('Step 5 Routing'!F39-INDEX('Step 4 Stage Discharge'!E$26:M$126,MATCH('Step 5 Routing'!F39,'Step 4 Stage Discharge'!E$26:E$126,1),1))/(INDEX('Step 4 Stage Discharge'!E$26:M$126,MATCH('Step 5 Routing'!F39,'Step 4 Stage Discharge'!E$26:E$126,1)+1,1)-INDEX('Step 4 Stage Discharge'!E$26:M$126,MATCH('Step 5 Routing'!F39,'Step 4 Stage Discharge'!E$26:E$126,1),1))</f>
        <v>0.11646259654544877</v>
      </c>
      <c r="J39" s="149"/>
      <c r="K39" s="6">
        <f t="shared" si="1"/>
        <v>6.9877557927269258</v>
      </c>
      <c r="L39" s="6">
        <f t="shared" si="2"/>
        <v>289.44532937318451</v>
      </c>
    </row>
    <row r="40" spans="1:12">
      <c r="A40">
        <f t="shared" si="3"/>
        <v>27</v>
      </c>
      <c r="B40" s="136">
        <f>IF(C$5=Data!D$3,'Step 2 Inflow Hydrograph'!H84,IF(C$5=Data!D$4,'Step 2 Inflow Hydrograph'!I84,IF(C$5=Data!D$5,'Step 2 Inflow Hydrograph'!J84,'Step 2 Inflow Hydrograph'!K84)))</f>
        <v>5.0487176615522461E-2</v>
      </c>
      <c r="C40" s="127"/>
      <c r="D40" s="6">
        <f t="shared" si="0"/>
        <v>3.0292305969313476</v>
      </c>
      <c r="E40" s="6"/>
      <c r="F40" s="6">
        <f t="shared" si="4"/>
        <v>292.47455997011588</v>
      </c>
      <c r="G40" s="149">
        <f>INDEX('Step 4 Stage Discharge'!E$26:F$126,MATCH(F40,'Step 4 Stage Discharge'!E$26:E$126,1),2)+(INDEX('Step 4 Stage Discharge'!E$26:F$126,MATCH(F40,'Step 4 Stage Discharge'!E$26:E$126,1)+1,2)-INDEX('Step 4 Stage Discharge'!E$26:F$126,MATCH(F40,'Step 4 Stage Discharge'!E$26:E$126,1),2))*(F40-INDEX('Step 4 Stage Discharge'!E$26:F$126,MATCH(F40,'Step 4 Stage Discharge'!E$26:E$126,1),1))/(INDEX('Step 4 Stage Discharge'!E$26:F$126,MATCH(F40,'Step 4 Stage Discharge'!E$26:E$126,1)+1,1)-INDEX('Step 4 Stage Discharge'!E$26:F$126,MATCH(F40,'Step 4 Stage Discharge'!E$26:E$126,1),1))</f>
        <v>0.61472987326337669</v>
      </c>
      <c r="H40" s="149"/>
      <c r="I40" s="149">
        <f>INDEX('Step 4 Stage Discharge'!E$26:M$126,MATCH(F40,'Step 4 Stage Discharge'!E$26:E$126,1),9)+(INDEX('Step 4 Stage Discharge'!E$26:M$126,MATCH('Step 5 Routing'!F40,'Step 4 Stage Discharge'!E$26:E$126,1)+1,9)-INDEX('Step 4 Stage Discharge'!E$26:M$126,MATCH('Step 5 Routing'!F40,'Step 4 Stage Discharge'!E$26:E$126,1),9))*('Step 5 Routing'!F40-INDEX('Step 4 Stage Discharge'!E$26:M$126,MATCH('Step 5 Routing'!F40,'Step 4 Stage Discharge'!E$26:E$126,1),1))/(INDEX('Step 4 Stage Discharge'!E$26:M$126,MATCH('Step 5 Routing'!F40,'Step 4 Stage Discharge'!E$26:E$126,1)+1,1)-INDEX('Step 4 Stage Discharge'!E$26:M$126,MATCH('Step 5 Routing'!F40,'Step 4 Stage Discharge'!E$26:E$126,1),1))</f>
        <v>0.11580811385863009</v>
      </c>
      <c r="J40" s="149"/>
      <c r="K40" s="6">
        <f t="shared" si="1"/>
        <v>6.9484868315178057</v>
      </c>
      <c r="L40" s="6">
        <f t="shared" si="2"/>
        <v>285.52607313859806</v>
      </c>
    </row>
    <row r="41" spans="1:12">
      <c r="A41">
        <f t="shared" si="3"/>
        <v>28</v>
      </c>
      <c r="B41" s="136">
        <f>IF(C$5=Data!D$3,'Step 2 Inflow Hydrograph'!H85,IF(C$5=Data!D$4,'Step 2 Inflow Hydrograph'!I85,IF(C$5=Data!D$5,'Step 2 Inflow Hydrograph'!J85,'Step 2 Inflow Hydrograph'!K85)))</f>
        <v>4.2255571732556847E-2</v>
      </c>
      <c r="C41" s="127"/>
      <c r="D41" s="6">
        <f t="shared" si="0"/>
        <v>2.5353343039534106</v>
      </c>
      <c r="E41" s="6"/>
      <c r="F41" s="6">
        <f t="shared" si="4"/>
        <v>288.06140744255146</v>
      </c>
      <c r="G41" s="149">
        <f>INDEX('Step 4 Stage Discharge'!E$26:F$126,MATCH(F41,'Step 4 Stage Discharge'!E$26:E$126,1),2)+(INDEX('Step 4 Stage Discharge'!E$26:F$126,MATCH(F41,'Step 4 Stage Discharge'!E$26:E$126,1)+1,2)-INDEX('Step 4 Stage Discharge'!E$26:F$126,MATCH(F41,'Step 4 Stage Discharge'!E$26:E$126,1),2))*(F41-INDEX('Step 4 Stage Discharge'!E$26:F$126,MATCH(F41,'Step 4 Stage Discharge'!E$26:E$126,1),1))/(INDEX('Step 4 Stage Discharge'!E$26:F$126,MATCH(F41,'Step 4 Stage Discharge'!E$26:E$126,1)+1,1)-INDEX('Step 4 Stage Discharge'!E$26:F$126,MATCH(F41,'Step 4 Stage Discharge'!E$26:E$126,1),1))</f>
        <v>0.60721531031629106</v>
      </c>
      <c r="H41" s="149"/>
      <c r="I41" s="149">
        <f>INDEX('Step 4 Stage Discharge'!E$26:M$126,MATCH(F41,'Step 4 Stage Discharge'!E$26:E$126,1),9)+(INDEX('Step 4 Stage Discharge'!E$26:M$126,MATCH('Step 5 Routing'!F41,'Step 4 Stage Discharge'!E$26:E$126,1)+1,9)-INDEX('Step 4 Stage Discharge'!E$26:M$126,MATCH('Step 5 Routing'!F41,'Step 4 Stage Discharge'!E$26:E$126,1),9))*('Step 5 Routing'!F41-INDEX('Step 4 Stage Discharge'!E$26:M$126,MATCH('Step 5 Routing'!F41,'Step 4 Stage Discharge'!E$26:E$126,1),1))/(INDEX('Step 4 Stage Discharge'!E$26:M$126,MATCH('Step 5 Routing'!F41,'Step 4 Stage Discharge'!E$26:E$126,1)+1,1)-INDEX('Step 4 Stage Discharge'!E$26:M$126,MATCH('Step 5 Routing'!F41,'Step 4 Stage Discharge'!E$26:E$126,1),1))</f>
        <v>0.11507846537069101</v>
      </c>
      <c r="J41" s="149"/>
      <c r="K41" s="6">
        <f t="shared" si="1"/>
        <v>6.9047079222414602</v>
      </c>
      <c r="L41" s="6">
        <f t="shared" si="2"/>
        <v>281.15669952030999</v>
      </c>
    </row>
    <row r="42" spans="1:12">
      <c r="A42">
        <f t="shared" si="3"/>
        <v>29</v>
      </c>
      <c r="B42" s="136">
        <f>IF(C$5=Data!D$3,'Step 2 Inflow Hydrograph'!H86,IF(C$5=Data!D$4,'Step 2 Inflow Hydrograph'!I86,IF(C$5=Data!D$5,'Step 2 Inflow Hydrograph'!J86,'Step 2 Inflow Hydrograph'!K86)))</f>
        <v>3.6219061485048727E-2</v>
      </c>
      <c r="C42" s="127"/>
      <c r="D42" s="6">
        <f t="shared" si="0"/>
        <v>2.1731436891029237</v>
      </c>
      <c r="E42" s="6"/>
      <c r="F42" s="6">
        <f t="shared" si="4"/>
        <v>283.3298432094129</v>
      </c>
      <c r="G42" s="149">
        <f>INDEX('Step 4 Stage Discharge'!E$26:F$126,MATCH(F42,'Step 4 Stage Discharge'!E$26:E$126,1),2)+(INDEX('Step 4 Stage Discharge'!E$26:F$126,MATCH(F42,'Step 4 Stage Discharge'!E$26:E$126,1)+1,2)-INDEX('Step 4 Stage Discharge'!E$26:F$126,MATCH(F42,'Step 4 Stage Discharge'!E$26:E$126,1),2))*(F42-INDEX('Step 4 Stage Discharge'!E$26:F$126,MATCH(F42,'Step 4 Stage Discharge'!E$26:E$126,1),1))/(INDEX('Step 4 Stage Discharge'!E$26:F$126,MATCH(F42,'Step 4 Stage Discharge'!E$26:E$126,1)+1,1)-INDEX('Step 4 Stage Discharge'!E$26:F$126,MATCH(F42,'Step 4 Stage Discharge'!E$26:E$126,1),1))</f>
        <v>0.59910711768107272</v>
      </c>
      <c r="H42" s="149"/>
      <c r="I42" s="149">
        <f>INDEX('Step 4 Stage Discharge'!E$26:M$126,MATCH(F42,'Step 4 Stage Discharge'!E$26:E$126,1),9)+(INDEX('Step 4 Stage Discharge'!E$26:M$126,MATCH('Step 5 Routing'!F42,'Step 4 Stage Discharge'!E$26:E$126,1)+1,9)-INDEX('Step 4 Stage Discharge'!E$26:M$126,MATCH('Step 5 Routing'!F42,'Step 4 Stage Discharge'!E$26:E$126,1),9))*('Step 5 Routing'!F42-INDEX('Step 4 Stage Discharge'!E$26:M$126,MATCH('Step 5 Routing'!F42,'Step 4 Stage Discharge'!E$26:E$126,1),1))/(INDEX('Step 4 Stage Discharge'!E$26:M$126,MATCH('Step 5 Routing'!F42,'Step 4 Stage Discharge'!E$26:E$126,1)+1,1)-INDEX('Step 4 Stage Discharge'!E$26:M$126,MATCH('Step 5 Routing'!F42,'Step 4 Stage Discharge'!E$26:E$126,1),1))</f>
        <v>0.11428309909931852</v>
      </c>
      <c r="J42" s="149"/>
      <c r="K42" s="6">
        <f t="shared" si="1"/>
        <v>6.8569859459591118</v>
      </c>
      <c r="L42" s="6">
        <f t="shared" si="2"/>
        <v>276.47285726345376</v>
      </c>
    </row>
    <row r="43" spans="1:12">
      <c r="A43">
        <f t="shared" si="3"/>
        <v>30</v>
      </c>
      <c r="B43" s="136">
        <f>IF(C$5=Data!D$3,'Step 2 Inflow Hydrograph'!H87,IF(C$5=Data!D$4,'Step 2 Inflow Hydrograph'!I87,IF(C$5=Data!D$5,'Step 2 Inflow Hydrograph'!J87,'Step 2 Inflow Hydrograph'!K87)))</f>
        <v>3.0182551237540607E-2</v>
      </c>
      <c r="C43" s="127"/>
      <c r="D43" s="6">
        <f t="shared" si="0"/>
        <v>1.8109530742524365</v>
      </c>
      <c r="E43" s="6"/>
      <c r="F43" s="6">
        <f t="shared" si="4"/>
        <v>278.2838103377062</v>
      </c>
      <c r="G43" s="149">
        <f>INDEX('Step 4 Stage Discharge'!E$26:F$126,MATCH(F43,'Step 4 Stage Discharge'!E$26:E$126,1),2)+(INDEX('Step 4 Stage Discharge'!E$26:F$126,MATCH(F43,'Step 4 Stage Discharge'!E$26:E$126,1)+1,2)-INDEX('Step 4 Stage Discharge'!E$26:F$126,MATCH(F43,'Step 4 Stage Discharge'!E$26:E$126,1),2))*(F43-INDEX('Step 4 Stage Discharge'!E$26:F$126,MATCH(F43,'Step 4 Stage Discharge'!E$26:E$126,1),1))/(INDEX('Step 4 Stage Discharge'!E$26:F$126,MATCH(F43,'Step 4 Stage Discharge'!E$26:E$126,1)+1,1)-INDEX('Step 4 Stage Discharge'!E$26:F$126,MATCH(F43,'Step 4 Stage Discharge'!E$26:E$126,1),1))</f>
        <v>0.58998953877151306</v>
      </c>
      <c r="H43" s="149"/>
      <c r="I43" s="149">
        <f>INDEX('Step 4 Stage Discharge'!E$26:M$126,MATCH(F43,'Step 4 Stage Discharge'!E$26:E$126,1),9)+(INDEX('Step 4 Stage Discharge'!E$26:M$126,MATCH('Step 5 Routing'!F43,'Step 4 Stage Discharge'!E$26:E$126,1)+1,9)-INDEX('Step 4 Stage Discharge'!E$26:M$126,MATCH('Step 5 Routing'!F43,'Step 4 Stage Discharge'!E$26:E$126,1),9))*('Step 5 Routing'!F43-INDEX('Step 4 Stage Discharge'!E$26:M$126,MATCH('Step 5 Routing'!F43,'Step 4 Stage Discharge'!E$26:E$126,1),1))/(INDEX('Step 4 Stage Discharge'!E$26:M$126,MATCH('Step 5 Routing'!F43,'Step 4 Stage Discharge'!E$26:E$126,1)+1,1)-INDEX('Step 4 Stage Discharge'!E$26:M$126,MATCH('Step 5 Routing'!F43,'Step 4 Stage Discharge'!E$26:E$126,1),1))</f>
        <v>0.11331531777125513</v>
      </c>
      <c r="J43" s="149"/>
      <c r="K43" s="6">
        <f t="shared" si="1"/>
        <v>6.7989190662753076</v>
      </c>
      <c r="L43" s="6">
        <f t="shared" si="2"/>
        <v>271.48489127143091</v>
      </c>
    </row>
    <row r="44" spans="1:12">
      <c r="A44">
        <f t="shared" si="3"/>
        <v>31</v>
      </c>
      <c r="B44" s="136">
        <f>IF(C$5=Data!D$3,'Step 2 Inflow Hydrograph'!H88,IF(C$5=Data!D$4,'Step 2 Inflow Hydrograph'!I88,IF(C$5=Data!D$5,'Step 2 Inflow Hydrograph'!J88,'Step 2 Inflow Hydrograph'!K88)))</f>
        <v>2.688990928435436E-2</v>
      </c>
      <c r="C44" s="127"/>
      <c r="D44" s="6">
        <f t="shared" si="0"/>
        <v>1.6133945570612616</v>
      </c>
      <c r="E44" s="6"/>
      <c r="F44" s="6">
        <f t="shared" si="4"/>
        <v>273.09828582849218</v>
      </c>
      <c r="G44" s="149">
        <f>INDEX('Step 4 Stage Discharge'!E$26:F$126,MATCH(F44,'Step 4 Stage Discharge'!E$26:E$126,1),2)+(INDEX('Step 4 Stage Discharge'!E$26:F$126,MATCH(F44,'Step 4 Stage Discharge'!E$26:E$126,1)+1,2)-INDEX('Step 4 Stage Discharge'!E$26:F$126,MATCH(F44,'Step 4 Stage Discharge'!E$26:E$126,1),2))*(F44-INDEX('Step 4 Stage Discharge'!E$26:F$126,MATCH(F44,'Step 4 Stage Discharge'!E$26:E$126,1),1))/(INDEX('Step 4 Stage Discharge'!E$26:F$126,MATCH(F44,'Step 4 Stage Discharge'!E$26:E$126,1)+1,1)-INDEX('Step 4 Stage Discharge'!E$26:F$126,MATCH(F44,'Step 4 Stage Discharge'!E$26:E$126,1),1))</f>
        <v>0.58061991512809363</v>
      </c>
      <c r="H44" s="149"/>
      <c r="I44" s="149">
        <f>INDEX('Step 4 Stage Discharge'!E$26:M$126,MATCH(F44,'Step 4 Stage Discharge'!E$26:E$126,1),9)+(INDEX('Step 4 Stage Discharge'!E$26:M$126,MATCH('Step 5 Routing'!F44,'Step 4 Stage Discharge'!E$26:E$126,1)+1,9)-INDEX('Step 4 Stage Discharge'!E$26:M$126,MATCH('Step 5 Routing'!F44,'Step 4 Stage Discharge'!E$26:E$126,1),9))*('Step 5 Routing'!F44-INDEX('Step 4 Stage Discharge'!E$26:M$126,MATCH('Step 5 Routing'!F44,'Step 4 Stage Discharge'!E$26:E$126,1),1))/(INDEX('Step 4 Stage Discharge'!E$26:M$126,MATCH('Step 5 Routing'!F44,'Step 4 Stage Discharge'!E$26:E$126,1)+1,1)-INDEX('Step 4 Stage Discharge'!E$26:M$126,MATCH('Step 5 Routing'!F44,'Step 4 Stage Discharge'!E$26:E$126,1),1))</f>
        <v>0.11232078326784928</v>
      </c>
      <c r="J44" s="149"/>
      <c r="K44" s="6">
        <f t="shared" si="1"/>
        <v>6.7392469960709569</v>
      </c>
      <c r="L44" s="6">
        <f t="shared" si="2"/>
        <v>266.35903883242122</v>
      </c>
    </row>
    <row r="45" spans="1:12">
      <c r="A45">
        <f t="shared" si="3"/>
        <v>32</v>
      </c>
      <c r="B45" s="136">
        <f>IF(C$5=Data!D$3,'Step 2 Inflow Hydrograph'!H89,IF(C$5=Data!D$4,'Step 2 Inflow Hydrograph'!I89,IF(C$5=Data!D$5,'Step 2 Inflow Hydrograph'!J89,'Step 2 Inflow Hydrograph'!K89)))</f>
        <v>2.3597267331168112E-2</v>
      </c>
      <c r="C45" s="127"/>
      <c r="D45" s="6">
        <f t="shared" si="0"/>
        <v>1.4158360398700867</v>
      </c>
      <c r="E45" s="6"/>
      <c r="F45" s="6">
        <f t="shared" si="4"/>
        <v>267.77487487229132</v>
      </c>
      <c r="G45" s="149">
        <f>INDEX('Step 4 Stage Discharge'!E$26:F$126,MATCH(F45,'Step 4 Stage Discharge'!E$26:E$126,1),2)+(INDEX('Step 4 Stage Discharge'!E$26:F$126,MATCH(F45,'Step 4 Stage Discharge'!E$26:E$126,1)+1,2)-INDEX('Step 4 Stage Discharge'!E$26:F$126,MATCH(F45,'Step 4 Stage Discharge'!E$26:E$126,1),2))*(F45-INDEX('Step 4 Stage Discharge'!E$26:F$126,MATCH(F45,'Step 4 Stage Discharge'!E$26:E$126,1),1))/(INDEX('Step 4 Stage Discharge'!E$26:F$126,MATCH(F45,'Step 4 Stage Discharge'!E$26:E$126,1)+1,1)-INDEX('Step 4 Stage Discharge'!E$26:F$126,MATCH(F45,'Step 4 Stage Discharge'!E$26:E$126,1),1))</f>
        <v>0.57100114713842742</v>
      </c>
      <c r="H45" s="149"/>
      <c r="I45" s="149">
        <f>INDEX('Step 4 Stage Discharge'!E$26:M$126,MATCH(F45,'Step 4 Stage Discharge'!E$26:E$126,1),9)+(INDEX('Step 4 Stage Discharge'!E$26:M$126,MATCH('Step 5 Routing'!F45,'Step 4 Stage Discharge'!E$26:E$126,1)+1,9)-INDEX('Step 4 Stage Discharge'!E$26:M$126,MATCH('Step 5 Routing'!F45,'Step 4 Stage Discharge'!E$26:E$126,1),9))*('Step 5 Routing'!F45-INDEX('Step 4 Stage Discharge'!E$26:M$126,MATCH('Step 5 Routing'!F45,'Step 4 Stage Discharge'!E$26:E$126,1),1))/(INDEX('Step 4 Stage Discharge'!E$26:M$126,MATCH('Step 5 Routing'!F45,'Step 4 Stage Discharge'!E$26:E$126,1)+1,1)-INDEX('Step 4 Stage Discharge'!E$26:M$126,MATCH('Step 5 Routing'!F45,'Step 4 Stage Discharge'!E$26:E$126,1),1))</f>
        <v>0.11129980344944457</v>
      </c>
      <c r="J45" s="149"/>
      <c r="K45" s="6">
        <f t="shared" si="1"/>
        <v>6.6779882069666741</v>
      </c>
      <c r="L45" s="6">
        <f t="shared" si="2"/>
        <v>261.09688666532463</v>
      </c>
    </row>
    <row r="46" spans="1:12">
      <c r="A46">
        <f t="shared" si="3"/>
        <v>33</v>
      </c>
      <c r="B46" s="136">
        <f>IF(C$5=Data!D$3,'Step 2 Inflow Hydrograph'!H90,IF(C$5=Data!D$4,'Step 2 Inflow Hydrograph'!I90,IF(C$5=Data!D$5,'Step 2 Inflow Hydrograph'!J90,'Step 2 Inflow Hydrograph'!K90)))</f>
        <v>2.0304625377981861E-2</v>
      </c>
      <c r="C46" s="127"/>
      <c r="D46" s="6">
        <f t="shared" si="0"/>
        <v>1.2182775226789118</v>
      </c>
      <c r="E46" s="6"/>
      <c r="F46" s="6">
        <f t="shared" si="4"/>
        <v>262.31516418800356</v>
      </c>
      <c r="G46" s="149">
        <f>INDEX('Step 4 Stage Discharge'!E$26:F$126,MATCH(F46,'Step 4 Stage Discharge'!E$26:E$126,1),2)+(INDEX('Step 4 Stage Discharge'!E$26:F$126,MATCH(F46,'Step 4 Stage Discharge'!E$26:E$126,1)+1,2)-INDEX('Step 4 Stage Discharge'!E$26:F$126,MATCH(F46,'Step 4 Stage Discharge'!E$26:E$126,1),2))*(F46-INDEX('Step 4 Stage Discharge'!E$26:F$126,MATCH(F46,'Step 4 Stage Discharge'!E$26:E$126,1),1))/(INDEX('Step 4 Stage Discharge'!E$26:F$126,MATCH(F46,'Step 4 Stage Discharge'!E$26:E$126,1)+1,1)-INDEX('Step 4 Stage Discharge'!E$26:F$126,MATCH(F46,'Step 4 Stage Discharge'!E$26:E$126,1),1))</f>
        <v>0.56113610181411455</v>
      </c>
      <c r="H46" s="149"/>
      <c r="I46" s="149">
        <f>INDEX('Step 4 Stage Discharge'!E$26:M$126,MATCH(F46,'Step 4 Stage Discharge'!E$26:E$126,1),9)+(INDEX('Step 4 Stage Discharge'!E$26:M$126,MATCH('Step 5 Routing'!F46,'Step 4 Stage Discharge'!E$26:E$126,1)+1,9)-INDEX('Step 4 Stage Discharge'!E$26:M$126,MATCH('Step 5 Routing'!F46,'Step 4 Stage Discharge'!E$26:E$126,1),9))*('Step 5 Routing'!F46-INDEX('Step 4 Stage Discharge'!E$26:M$126,MATCH('Step 5 Routing'!F46,'Step 4 Stage Discharge'!E$26:E$126,1),1))/(INDEX('Step 4 Stage Discharge'!E$26:M$126,MATCH('Step 5 Routing'!F46,'Step 4 Stage Discharge'!E$26:E$126,1)+1,1)-INDEX('Step 4 Stage Discharge'!E$26:M$126,MATCH('Step 5 Routing'!F46,'Step 4 Stage Discharge'!E$26:E$126,1),1))</f>
        <v>0.11025268263370268</v>
      </c>
      <c r="J46" s="149"/>
      <c r="K46" s="6">
        <f t="shared" si="1"/>
        <v>6.6151609580221606</v>
      </c>
      <c r="L46" s="6">
        <f t="shared" si="2"/>
        <v>255.70000322998141</v>
      </c>
    </row>
    <row r="47" spans="1:12">
      <c r="A47">
        <f t="shared" si="3"/>
        <v>34</v>
      </c>
      <c r="B47" s="136">
        <f>IF(C$5=Data!D$3,'Step 2 Inflow Hydrograph'!H91,IF(C$5=Data!D$4,'Step 2 Inflow Hydrograph'!I91,IF(C$5=Data!D$5,'Step 2 Inflow Hydrograph'!J91,'Step 2 Inflow Hydrograph'!K91)))</f>
        <v>1.7011983424795613E-2</v>
      </c>
      <c r="C47" s="127"/>
      <c r="D47" s="6">
        <f t="shared" si="0"/>
        <v>1.0207190054877369</v>
      </c>
      <c r="E47" s="6"/>
      <c r="F47" s="6">
        <f t="shared" si="4"/>
        <v>256.72072223546917</v>
      </c>
      <c r="G47" s="149">
        <f>INDEX('Step 4 Stage Discharge'!E$26:F$126,MATCH(F47,'Step 4 Stage Discharge'!E$26:E$126,1),2)+(INDEX('Step 4 Stage Discharge'!E$26:F$126,MATCH(F47,'Step 4 Stage Discharge'!E$26:E$126,1)+1,2)-INDEX('Step 4 Stage Discharge'!E$26:F$126,MATCH(F47,'Step 4 Stage Discharge'!E$26:E$126,1),2))*(F47-INDEX('Step 4 Stage Discharge'!E$26:F$126,MATCH(F47,'Step 4 Stage Discharge'!E$26:E$126,1),1))/(INDEX('Step 4 Stage Discharge'!E$26:F$126,MATCH(F47,'Step 4 Stage Discharge'!E$26:E$126,1)+1,1)-INDEX('Step 4 Stage Discharge'!E$26:F$126,MATCH(F47,'Step 4 Stage Discharge'!E$26:E$126,1),1))</f>
        <v>0.55102761317481419</v>
      </c>
      <c r="H47" s="149"/>
      <c r="I47" s="149">
        <f>INDEX('Step 4 Stage Discharge'!E$26:M$126,MATCH(F47,'Step 4 Stage Discharge'!E$26:E$126,1),9)+(INDEX('Step 4 Stage Discharge'!E$26:M$126,MATCH('Step 5 Routing'!F47,'Step 4 Stage Discharge'!E$26:E$126,1)+1,9)-INDEX('Step 4 Stage Discharge'!E$26:M$126,MATCH('Step 5 Routing'!F47,'Step 4 Stage Discharge'!E$26:E$126,1),9))*('Step 5 Routing'!F47-INDEX('Step 4 Stage Discharge'!E$26:M$126,MATCH('Step 5 Routing'!F47,'Step 4 Stage Discharge'!E$26:E$126,1),1))/(INDEX('Step 4 Stage Discharge'!E$26:M$126,MATCH('Step 5 Routing'!F47,'Step 4 Stage Discharge'!E$26:E$126,1)+1,1)-INDEX('Step 4 Stage Discharge'!E$26:M$126,MATCH('Step 5 Routing'!F47,'Step 4 Stage Discharge'!E$26:E$126,1),1))</f>
        <v>0.10917972163637051</v>
      </c>
      <c r="J47" s="149"/>
      <c r="K47" s="6">
        <f t="shared" si="1"/>
        <v>6.55078329818223</v>
      </c>
      <c r="L47" s="6">
        <f t="shared" si="2"/>
        <v>250.16993893728693</v>
      </c>
    </row>
    <row r="48" spans="1:12">
      <c r="A48">
        <f t="shared" si="3"/>
        <v>35</v>
      </c>
      <c r="B48" s="136">
        <f>IF(C$5=Data!D$3,'Step 2 Inflow Hydrograph'!H92,IF(C$5=Data!D$4,'Step 2 Inflow Hydrograph'!I92,IF(C$5=Data!D$5,'Step 2 Inflow Hydrograph'!J92,'Step 2 Inflow Hydrograph'!K92)))</f>
        <v>1.3719341471609367E-2</v>
      </c>
      <c r="C48" s="127"/>
      <c r="D48" s="6">
        <f t="shared" si="0"/>
        <v>0.82316048829656208</v>
      </c>
      <c r="E48" s="6"/>
      <c r="F48" s="6">
        <f t="shared" si="4"/>
        <v>250.99309942558349</v>
      </c>
      <c r="G48" s="149">
        <f>INDEX('Step 4 Stage Discharge'!E$26:F$126,MATCH(F48,'Step 4 Stage Discharge'!E$26:E$126,1),2)+(INDEX('Step 4 Stage Discharge'!E$26:F$126,MATCH(F48,'Step 4 Stage Discharge'!E$26:E$126,1)+1,2)-INDEX('Step 4 Stage Discharge'!E$26:F$126,MATCH(F48,'Step 4 Stage Discharge'!E$26:E$126,1),2))*(F48-INDEX('Step 4 Stage Discharge'!E$26:F$126,MATCH(F48,'Step 4 Stage Discharge'!E$26:E$126,1),1))/(INDEX('Step 4 Stage Discharge'!E$26:F$126,MATCH(F48,'Step 4 Stage Discharge'!E$26:E$126,1)+1,1)-INDEX('Step 4 Stage Discharge'!E$26:F$126,MATCH(F48,'Step 4 Stage Discharge'!E$26:E$126,1),1))</f>
        <v>0.54067848262789731</v>
      </c>
      <c r="H48" s="149"/>
      <c r="I48" s="149">
        <f>INDEX('Step 4 Stage Discharge'!E$26:M$126,MATCH(F48,'Step 4 Stage Discharge'!E$26:E$126,1),9)+(INDEX('Step 4 Stage Discharge'!E$26:M$126,MATCH('Step 5 Routing'!F48,'Step 4 Stage Discharge'!E$26:E$126,1)+1,9)-INDEX('Step 4 Stage Discharge'!E$26:M$126,MATCH('Step 5 Routing'!F48,'Step 4 Stage Discharge'!E$26:E$126,1),9))*('Step 5 Routing'!F48-INDEX('Step 4 Stage Discharge'!E$26:M$126,MATCH('Step 5 Routing'!F48,'Step 4 Stage Discharge'!E$26:E$126,1),1))/(INDEX('Step 4 Stage Discharge'!E$26:M$126,MATCH('Step 5 Routing'!F48,'Step 4 Stage Discharge'!E$26:E$126,1)+1,1)-INDEX('Step 4 Stage Discharge'!E$26:M$126,MATCH('Step 5 Routing'!F48,'Step 4 Stage Discharge'!E$26:E$126,1),1))</f>
        <v>0.10808121781157824</v>
      </c>
      <c r="J48" s="149"/>
      <c r="K48" s="6">
        <f t="shared" si="1"/>
        <v>6.4848730686946947</v>
      </c>
      <c r="L48" s="6">
        <f t="shared" si="2"/>
        <v>244.5082263568888</v>
      </c>
    </row>
    <row r="49" spans="1:12">
      <c r="A49">
        <f t="shared" si="3"/>
        <v>36</v>
      </c>
      <c r="B49" s="136">
        <f>IF(C$5=Data!D$3,'Step 2 Inflow Hydrograph'!H93,IF(C$5=Data!D$4,'Step 2 Inflow Hydrograph'!I93,IF(C$5=Data!D$5,'Step 2 Inflow Hydrograph'!J93,'Step 2 Inflow Hydrograph'!K93)))</f>
        <v>1.2182775226789119E-2</v>
      </c>
      <c r="C49" s="127"/>
      <c r="D49" s="6">
        <f t="shared" si="0"/>
        <v>0.7309665136073471</v>
      </c>
      <c r="E49" s="6"/>
      <c r="F49" s="6">
        <f t="shared" si="4"/>
        <v>245.23919287049614</v>
      </c>
      <c r="G49" s="149">
        <f>INDEX('Step 4 Stage Discharge'!E$26:F$126,MATCH(F49,'Step 4 Stage Discharge'!E$26:E$126,1),2)+(INDEX('Step 4 Stage Discharge'!E$26:F$126,MATCH(F49,'Step 4 Stage Discharge'!E$26:E$126,1)+1,2)-INDEX('Step 4 Stage Discharge'!E$26:F$126,MATCH(F49,'Step 4 Stage Discharge'!E$26:E$126,1),2))*(F49-INDEX('Step 4 Stage Discharge'!E$26:F$126,MATCH(F49,'Step 4 Stage Discharge'!E$26:E$126,1),1))/(INDEX('Step 4 Stage Discharge'!E$26:F$126,MATCH(F49,'Step 4 Stage Discharge'!E$26:E$126,1)+1,1)-INDEX('Step 4 Stage Discharge'!E$26:F$126,MATCH(F49,'Step 4 Stage Discharge'!E$26:E$126,1),1))</f>
        <v>0.53028186049164516</v>
      </c>
      <c r="H49" s="149"/>
      <c r="I49" s="149">
        <f>INDEX('Step 4 Stage Discharge'!E$26:M$126,MATCH(F49,'Step 4 Stage Discharge'!E$26:E$126,1),9)+(INDEX('Step 4 Stage Discharge'!E$26:M$126,MATCH('Step 5 Routing'!F49,'Step 4 Stage Discharge'!E$26:E$126,1)+1,9)-INDEX('Step 4 Stage Discharge'!E$26:M$126,MATCH('Step 5 Routing'!F49,'Step 4 Stage Discharge'!E$26:E$126,1),9))*('Step 5 Routing'!F49-INDEX('Step 4 Stage Discharge'!E$26:M$126,MATCH('Step 5 Routing'!F49,'Step 4 Stage Discharge'!E$26:E$126,1),1))/(INDEX('Step 4 Stage Discharge'!E$26:M$126,MATCH('Step 5 Routing'!F49,'Step 4 Stage Discharge'!E$26:E$126,1)+1,1)-INDEX('Step 4 Stage Discharge'!E$26:M$126,MATCH('Step 5 Routing'!F49,'Step 4 Stage Discharge'!E$26:E$126,1),1))</f>
        <v>0.10697767301331543</v>
      </c>
      <c r="J49" s="149"/>
      <c r="K49" s="6">
        <f t="shared" si="1"/>
        <v>6.4186603807989258</v>
      </c>
      <c r="L49" s="6">
        <f t="shared" si="2"/>
        <v>238.8205324896972</v>
      </c>
    </row>
    <row r="50" spans="1:12">
      <c r="A50">
        <f t="shared" si="3"/>
        <v>37</v>
      </c>
      <c r="B50" s="136">
        <f>IF(C$5=Data!D$3,'Step 2 Inflow Hydrograph'!H94,IF(C$5=Data!D$4,'Step 2 Inflow Hydrograph'!I94,IF(C$5=Data!D$5,'Step 2 Inflow Hydrograph'!J94,'Step 2 Inflow Hydrograph'!K94)))</f>
        <v>1.0646208981968868E-2</v>
      </c>
      <c r="C50" s="127"/>
      <c r="D50" s="6">
        <f t="shared" si="0"/>
        <v>0.63877253891813213</v>
      </c>
      <c r="E50" s="6"/>
      <c r="F50" s="6">
        <f t="shared" si="4"/>
        <v>239.45930502861532</v>
      </c>
      <c r="G50" s="149">
        <f>INDEX('Step 4 Stage Discharge'!E$26:F$126,MATCH(F50,'Step 4 Stage Discharge'!E$26:E$126,1),2)+(INDEX('Step 4 Stage Discharge'!E$26:F$126,MATCH(F50,'Step 4 Stage Discharge'!E$26:E$126,1)+1,2)-INDEX('Step 4 Stage Discharge'!E$26:F$126,MATCH(F50,'Step 4 Stage Discharge'!E$26:E$126,1),2))*(F50-INDEX('Step 4 Stage Discharge'!E$26:F$126,MATCH(F50,'Step 4 Stage Discharge'!E$26:E$126,1),1))/(INDEX('Step 4 Stage Discharge'!E$26:F$126,MATCH(F50,'Step 4 Stage Discharge'!E$26:E$126,1)+1,1)-INDEX('Step 4 Stage Discharge'!E$26:F$126,MATCH(F50,'Step 4 Stage Discharge'!E$26:E$126,1),1))</f>
        <v>0.51983829327228837</v>
      </c>
      <c r="H50" s="149"/>
      <c r="I50" s="149">
        <f>INDEX('Step 4 Stage Discharge'!E$26:M$126,MATCH(F50,'Step 4 Stage Discharge'!E$26:E$126,1),9)+(INDEX('Step 4 Stage Discharge'!E$26:M$126,MATCH('Step 5 Routing'!F50,'Step 4 Stage Discharge'!E$26:E$126,1)+1,9)-INDEX('Step 4 Stage Discharge'!E$26:M$126,MATCH('Step 5 Routing'!F50,'Step 4 Stage Discharge'!E$26:E$126,1),9))*('Step 5 Routing'!F50-INDEX('Step 4 Stage Discharge'!E$26:M$126,MATCH('Step 5 Routing'!F50,'Step 4 Stage Discharge'!E$26:E$126,1),1))/(INDEX('Step 4 Stage Discharge'!E$26:M$126,MATCH('Step 5 Routing'!F50,'Step 4 Stage Discharge'!E$26:E$126,1)+1,1)-INDEX('Step 4 Stage Discharge'!E$26:M$126,MATCH('Step 5 Routing'!F50,'Step 4 Stage Discharge'!E$26:E$126,1),1))</f>
        <v>0.10586914525024103</v>
      </c>
      <c r="J50" s="149"/>
      <c r="K50" s="6">
        <f t="shared" si="1"/>
        <v>6.3521487150144624</v>
      </c>
      <c r="L50" s="6">
        <f t="shared" si="2"/>
        <v>233.10715631360085</v>
      </c>
    </row>
    <row r="51" spans="1:12">
      <c r="A51">
        <f t="shared" si="3"/>
        <v>38</v>
      </c>
      <c r="B51" s="136">
        <f>IF(C$5=Data!D$3,'Step 2 Inflow Hydrograph'!H95,IF(C$5=Data!D$4,'Step 2 Inflow Hydrograph'!I95,IF(C$5=Data!D$5,'Step 2 Inflow Hydrograph'!J95,'Step 2 Inflow Hydrograph'!K95)))</f>
        <v>9.1096427371486193E-3</v>
      </c>
      <c r="C51" s="127"/>
      <c r="D51" s="6">
        <f t="shared" si="0"/>
        <v>0.54657856422891715</v>
      </c>
      <c r="E51" s="6"/>
      <c r="F51" s="6">
        <f t="shared" si="4"/>
        <v>233.65373487782978</v>
      </c>
      <c r="G51" s="149">
        <f>INDEX('Step 4 Stage Discharge'!E$26:F$126,MATCH(F51,'Step 4 Stage Discharge'!E$26:E$126,1),2)+(INDEX('Step 4 Stage Discharge'!E$26:F$126,MATCH(F51,'Step 4 Stage Discharge'!E$26:E$126,1)+1,2)-INDEX('Step 4 Stage Discharge'!E$26:F$126,MATCH(F51,'Step 4 Stage Discharge'!E$26:E$126,1),2))*(F51-INDEX('Step 4 Stage Discharge'!E$26:F$126,MATCH(F51,'Step 4 Stage Discharge'!E$26:E$126,1),1))/(INDEX('Step 4 Stage Discharge'!E$26:F$126,MATCH(F51,'Step 4 Stage Discharge'!E$26:E$126,1)+1,1)-INDEX('Step 4 Stage Discharge'!E$26:F$126,MATCH(F51,'Step 4 Stage Discharge'!E$26:E$126,1),1))</f>
        <v>0.50934832118717432</v>
      </c>
      <c r="H51" s="149"/>
      <c r="I51" s="149">
        <f>INDEX('Step 4 Stage Discharge'!E$26:M$126,MATCH(F51,'Step 4 Stage Discharge'!E$26:E$126,1),9)+(INDEX('Step 4 Stage Discharge'!E$26:M$126,MATCH('Step 5 Routing'!F51,'Step 4 Stage Discharge'!E$26:E$126,1)+1,9)-INDEX('Step 4 Stage Discharge'!E$26:M$126,MATCH('Step 5 Routing'!F51,'Step 4 Stage Discharge'!E$26:E$126,1),9))*('Step 5 Routing'!F51-INDEX('Step 4 Stage Discharge'!E$26:M$126,MATCH('Step 5 Routing'!F51,'Step 4 Stage Discharge'!E$26:E$126,1),1))/(INDEX('Step 4 Stage Discharge'!E$26:M$126,MATCH('Step 5 Routing'!F51,'Step 4 Stage Discharge'!E$26:E$126,1)+1,1)-INDEX('Step 4 Stage Discharge'!E$26:M$126,MATCH('Step 5 Routing'!F51,'Step 4 Stage Discharge'!E$26:E$126,1),1))</f>
        <v>0.10475569186348334</v>
      </c>
      <c r="J51" s="149"/>
      <c r="K51" s="6">
        <f t="shared" si="1"/>
        <v>6.2853415118090004</v>
      </c>
      <c r="L51" s="6">
        <f t="shared" si="2"/>
        <v>227.36839336602077</v>
      </c>
    </row>
    <row r="52" spans="1:12">
      <c r="A52">
        <f t="shared" si="3"/>
        <v>39</v>
      </c>
      <c r="B52" s="136">
        <f>IF(C$5=Data!D$3,'Step 2 Inflow Hydrograph'!H96,IF(C$5=Data!D$4,'Step 2 Inflow Hydrograph'!I96,IF(C$5=Data!D$5,'Step 2 Inflow Hydrograph'!J96,'Step 2 Inflow Hydrograph'!K96)))</f>
        <v>7.5730764923283705E-3</v>
      </c>
      <c r="C52" s="127"/>
      <c r="D52" s="6">
        <f t="shared" si="0"/>
        <v>0.45438458953970223</v>
      </c>
      <c r="E52" s="6"/>
      <c r="F52" s="6">
        <f t="shared" si="4"/>
        <v>227.82277795556047</v>
      </c>
      <c r="G52" s="149">
        <f>INDEX('Step 4 Stage Discharge'!E$26:F$126,MATCH(F52,'Step 4 Stage Discharge'!E$26:E$126,1),2)+(INDEX('Step 4 Stage Discharge'!E$26:F$126,MATCH(F52,'Step 4 Stage Discharge'!E$26:E$126,1)+1,2)-INDEX('Step 4 Stage Discharge'!E$26:F$126,MATCH(F52,'Step 4 Stage Discharge'!E$26:E$126,1),2))*(F52-INDEX('Step 4 Stage Discharge'!E$26:F$126,MATCH(F52,'Step 4 Stage Discharge'!E$26:E$126,1),1))/(INDEX('Step 4 Stage Discharge'!E$26:F$126,MATCH(F52,'Step 4 Stage Discharge'!E$26:E$126,1)+1,1)-INDEX('Step 4 Stage Discharge'!E$26:F$126,MATCH(F52,'Step 4 Stage Discharge'!E$26:E$126,1),1))</f>
        <v>0.49873688875223027</v>
      </c>
      <c r="H52" s="149"/>
      <c r="I52" s="149">
        <f>INDEX('Step 4 Stage Discharge'!E$26:M$126,MATCH(F52,'Step 4 Stage Discharge'!E$26:E$126,1),9)+(INDEX('Step 4 Stage Discharge'!E$26:M$126,MATCH('Step 5 Routing'!F52,'Step 4 Stage Discharge'!E$26:E$126,1)+1,9)-INDEX('Step 4 Stage Discharge'!E$26:M$126,MATCH('Step 5 Routing'!F52,'Step 4 Stage Discharge'!E$26:E$126,1),9))*('Step 5 Routing'!F52-INDEX('Step 4 Stage Discharge'!E$26:M$126,MATCH('Step 5 Routing'!F52,'Step 4 Stage Discharge'!E$26:E$126,1),1))/(INDEX('Step 4 Stage Discharge'!E$26:M$126,MATCH('Step 5 Routing'!F52,'Step 4 Stage Discharge'!E$26:E$126,1)+1,1)-INDEX('Step 4 Stage Discharge'!E$26:M$126,MATCH('Step 5 Routing'!F52,'Step 4 Stage Discharge'!E$26:E$126,1),1))</f>
        <v>0.10361396788723021</v>
      </c>
      <c r="J52" s="149"/>
      <c r="K52" s="6">
        <f t="shared" si="1"/>
        <v>6.2168380732338129</v>
      </c>
      <c r="L52" s="6">
        <f t="shared" si="2"/>
        <v>221.60593988232665</v>
      </c>
    </row>
    <row r="53" spans="1:12">
      <c r="A53">
        <f t="shared" si="3"/>
        <v>40</v>
      </c>
      <c r="B53" s="136">
        <f>IF(C$5=Data!D$3,'Step 2 Inflow Hydrograph'!H97,IF(C$5=Data!D$4,'Step 2 Inflow Hydrograph'!I97,IF(C$5=Data!D$5,'Step 2 Inflow Hydrograph'!J97,'Step 2 Inflow Hydrograph'!K97)))</f>
        <v>6.0365102475081209E-3</v>
      </c>
      <c r="C53" s="127"/>
      <c r="D53" s="6">
        <f t="shared" si="0"/>
        <v>0.36219061485048726</v>
      </c>
      <c r="E53" s="6"/>
      <c r="F53" s="6">
        <f t="shared" si="4"/>
        <v>221.96813049717713</v>
      </c>
      <c r="G53" s="149">
        <f>INDEX('Step 4 Stage Discharge'!E$26:F$126,MATCH(F53,'Step 4 Stage Discharge'!E$26:E$126,1),2)+(INDEX('Step 4 Stage Discharge'!E$26:F$126,MATCH(F53,'Step 4 Stage Discharge'!E$26:E$126,1)+1,2)-INDEX('Step 4 Stage Discharge'!E$26:F$126,MATCH(F53,'Step 4 Stage Discharge'!E$26:E$126,1),2))*(F53-INDEX('Step 4 Stage Discharge'!E$26:F$126,MATCH(F53,'Step 4 Stage Discharge'!E$26:E$126,1),1))/(INDEX('Step 4 Stage Discharge'!E$26:F$126,MATCH(F53,'Step 4 Stage Discharge'!E$26:E$126,1)+1,1)-INDEX('Step 4 Stage Discharge'!E$26:F$126,MATCH(F53,'Step 4 Stage Discharge'!E$26:E$126,1),1))</f>
        <v>0.48748487564801873</v>
      </c>
      <c r="H53" s="149"/>
      <c r="I53" s="149">
        <f>INDEX('Step 4 Stage Discharge'!E$26:M$126,MATCH(F53,'Step 4 Stage Discharge'!E$26:E$126,1),9)+(INDEX('Step 4 Stage Discharge'!E$26:M$126,MATCH('Step 5 Routing'!F53,'Step 4 Stage Discharge'!E$26:E$126,1)+1,9)-INDEX('Step 4 Stage Discharge'!E$26:M$126,MATCH('Step 5 Routing'!F53,'Step 4 Stage Discharge'!E$26:E$126,1),9))*('Step 5 Routing'!F53-INDEX('Step 4 Stage Discharge'!E$26:M$126,MATCH('Step 5 Routing'!F53,'Step 4 Stage Discharge'!E$26:E$126,1),1))/(INDEX('Step 4 Stage Discharge'!E$26:M$126,MATCH('Step 5 Routing'!F53,'Step 4 Stage Discharge'!E$26:E$126,1)+1,1)-INDEX('Step 4 Stage Discharge'!E$26:M$126,MATCH('Step 5 Routing'!F53,'Step 4 Stage Discharge'!E$26:E$126,1),1))</f>
        <v>0.10228263602435431</v>
      </c>
      <c r="J53" s="149"/>
      <c r="K53" s="6">
        <f t="shared" si="1"/>
        <v>6.1369581614612585</v>
      </c>
      <c r="L53" s="6">
        <f t="shared" si="2"/>
        <v>215.83117233571588</v>
      </c>
    </row>
    <row r="54" spans="1:12">
      <c r="A54">
        <f t="shared" si="3"/>
        <v>41</v>
      </c>
      <c r="B54" s="136">
        <f>IF(C$5=Data!D$3,'Step 2 Inflow Hydrograph'!H98,IF(C$5=Data!D$4,'Step 2 Inflow Hydrograph'!I98,IF(C$5=Data!D$5,'Step 2 Inflow Hydrograph'!J98,'Step 2 Inflow Hydrograph'!K98)))</f>
        <v>5.3779818568708716E-3</v>
      </c>
      <c r="C54" s="127"/>
      <c r="D54" s="6">
        <f t="shared" si="0"/>
        <v>0.3226789114122523</v>
      </c>
      <c r="E54" s="6"/>
      <c r="F54" s="6">
        <f t="shared" si="4"/>
        <v>216.15385124712813</v>
      </c>
      <c r="G54" s="149">
        <f>INDEX('Step 4 Stage Discharge'!E$26:F$126,MATCH(F54,'Step 4 Stage Discharge'!E$26:E$126,1),2)+(INDEX('Step 4 Stage Discharge'!E$26:F$126,MATCH(F54,'Step 4 Stage Discharge'!E$26:E$126,1)+1,2)-INDEX('Step 4 Stage Discharge'!E$26:F$126,MATCH(F54,'Step 4 Stage Discharge'!E$26:E$126,1),2))*(F54-INDEX('Step 4 Stage Discharge'!E$26:F$126,MATCH(F54,'Step 4 Stage Discharge'!E$26:E$126,1),1))/(INDEX('Step 4 Stage Discharge'!E$26:F$126,MATCH(F54,'Step 4 Stage Discharge'!E$26:E$126,1)+1,1)-INDEX('Step 4 Stage Discharge'!E$26:F$126,MATCH(F54,'Step 4 Stage Discharge'!E$26:E$126,1),1))</f>
        <v>0.47631044597003402</v>
      </c>
      <c r="H54" s="149"/>
      <c r="I54" s="149">
        <f>INDEX('Step 4 Stage Discharge'!E$26:M$126,MATCH(F54,'Step 4 Stage Discharge'!E$26:E$126,1),9)+(INDEX('Step 4 Stage Discharge'!E$26:M$126,MATCH('Step 5 Routing'!F54,'Step 4 Stage Discharge'!E$26:E$126,1)+1,9)-INDEX('Step 4 Stage Discharge'!E$26:M$126,MATCH('Step 5 Routing'!F54,'Step 4 Stage Discharge'!E$26:E$126,1),9))*('Step 5 Routing'!F54-INDEX('Step 4 Stage Discharge'!E$26:M$126,MATCH('Step 5 Routing'!F54,'Step 4 Stage Discharge'!E$26:E$126,1),1))/(INDEX('Step 4 Stage Discharge'!E$26:M$126,MATCH('Step 5 Routing'!F54,'Step 4 Stage Discharge'!E$26:E$126,1)+1,1)-INDEX('Step 4 Stage Discharge'!E$26:M$126,MATCH('Step 5 Routing'!F54,'Step 4 Stage Discharge'!E$26:E$126,1),1))</f>
        <v>0.10096048378884021</v>
      </c>
      <c r="J54" s="149"/>
      <c r="K54" s="6">
        <f t="shared" si="1"/>
        <v>6.0576290273304121</v>
      </c>
      <c r="L54" s="6">
        <f t="shared" si="2"/>
        <v>210.09622221979771</v>
      </c>
    </row>
    <row r="55" spans="1:12">
      <c r="A55">
        <f t="shared" si="3"/>
        <v>42</v>
      </c>
      <c r="B55" s="136">
        <f>IF(C$5=Data!D$3,'Step 2 Inflow Hydrograph'!H99,IF(C$5=Data!D$4,'Step 2 Inflow Hydrograph'!I99,IF(C$5=Data!D$5,'Step 2 Inflow Hydrograph'!J99,'Step 2 Inflow Hydrograph'!K99)))</f>
        <v>4.7194534662336213E-3</v>
      </c>
      <c r="C55" s="127"/>
      <c r="D55" s="6">
        <f t="shared" si="0"/>
        <v>0.28316720797401729</v>
      </c>
      <c r="E55" s="6"/>
      <c r="F55" s="6">
        <f t="shared" si="4"/>
        <v>210.37938942777174</v>
      </c>
      <c r="G55" s="149">
        <f>INDEX('Step 4 Stage Discharge'!E$26:F$126,MATCH(F55,'Step 4 Stage Discharge'!E$26:E$126,1),2)+(INDEX('Step 4 Stage Discharge'!E$26:F$126,MATCH(F55,'Step 4 Stage Discharge'!E$26:E$126,1)+1,2)-INDEX('Step 4 Stage Discharge'!E$26:F$126,MATCH(F55,'Step 4 Stage Discharge'!E$26:E$126,1),2))*(F55-INDEX('Step 4 Stage Discharge'!E$26:F$126,MATCH(F55,'Step 4 Stage Discharge'!E$26:E$126,1),1))/(INDEX('Step 4 Stage Discharge'!E$26:F$126,MATCH(F55,'Step 4 Stage Discharge'!E$26:E$126,1)+1,1)-INDEX('Step 4 Stage Discharge'!E$26:F$126,MATCH(F55,'Step 4 Stage Discharge'!E$26:E$126,1),1))</f>
        <v>0.46521254118191063</v>
      </c>
      <c r="H55" s="149"/>
      <c r="I55" s="149">
        <f>INDEX('Step 4 Stage Discharge'!E$26:M$126,MATCH(F55,'Step 4 Stage Discharge'!E$26:E$126,1),9)+(INDEX('Step 4 Stage Discharge'!E$26:M$126,MATCH('Step 5 Routing'!F55,'Step 4 Stage Discharge'!E$26:E$126,1)+1,9)-INDEX('Step 4 Stage Discharge'!E$26:M$126,MATCH('Step 5 Routing'!F55,'Step 4 Stage Discharge'!E$26:E$126,1),9))*('Step 5 Routing'!F55-INDEX('Step 4 Stage Discharge'!E$26:M$126,MATCH('Step 5 Routing'!F55,'Step 4 Stage Discharge'!E$26:E$126,1),1))/(INDEX('Step 4 Stage Discharge'!E$26:M$126,MATCH('Step 5 Routing'!F55,'Step 4 Stage Discharge'!E$26:E$126,1)+1,1)-INDEX('Step 4 Stage Discharge'!E$26:M$126,MATCH('Step 5 Routing'!F55,'Step 4 Stage Discharge'!E$26:E$126,1),1))</f>
        <v>9.964738593526043E-2</v>
      </c>
      <c r="J55" s="149"/>
      <c r="K55" s="6">
        <f t="shared" si="1"/>
        <v>5.9788431561156257</v>
      </c>
      <c r="L55" s="6">
        <f t="shared" si="2"/>
        <v>204.40054627165611</v>
      </c>
    </row>
    <row r="56" spans="1:12">
      <c r="A56">
        <f t="shared" si="3"/>
        <v>43</v>
      </c>
      <c r="B56" s="136">
        <f>IF(C$5=Data!D$3,'Step 2 Inflow Hydrograph'!H100,IF(C$5=Data!D$4,'Step 2 Inflow Hydrograph'!I100,IF(C$5=Data!D$5,'Step 2 Inflow Hydrograph'!J100,'Step 2 Inflow Hydrograph'!K100)))</f>
        <v>4.0609250755963729E-3</v>
      </c>
      <c r="C56" s="127"/>
      <c r="D56" s="6">
        <f t="shared" si="0"/>
        <v>0.24365550453578239</v>
      </c>
      <c r="E56" s="6"/>
      <c r="F56" s="6">
        <f t="shared" si="4"/>
        <v>204.64420177619189</v>
      </c>
      <c r="G56" s="149">
        <f>INDEX('Step 4 Stage Discharge'!E$26:F$126,MATCH(F56,'Step 4 Stage Discharge'!E$26:E$126,1),2)+(INDEX('Step 4 Stage Discharge'!E$26:F$126,MATCH(F56,'Step 4 Stage Discharge'!E$26:E$126,1)+1,2)-INDEX('Step 4 Stage Discharge'!E$26:F$126,MATCH(F56,'Step 4 Stage Discharge'!E$26:E$126,1),2))*(F56-INDEX('Step 4 Stage Discharge'!E$26:F$126,MATCH(F56,'Step 4 Stage Discharge'!E$26:E$126,1),1))/(INDEX('Step 4 Stage Discharge'!E$26:F$126,MATCH(F56,'Step 4 Stage Discharge'!E$26:E$126,1)+1,1)-INDEX('Step 4 Stage Discharge'!E$26:F$126,MATCH(F56,'Step 4 Stage Discharge'!E$26:E$126,1),1))</f>
        <v>0.45419011718979069</v>
      </c>
      <c r="H56" s="149"/>
      <c r="I56" s="149">
        <f>INDEX('Step 4 Stage Discharge'!E$26:M$126,MATCH(F56,'Step 4 Stage Discharge'!E$26:E$126,1),9)+(INDEX('Step 4 Stage Discharge'!E$26:M$126,MATCH('Step 5 Routing'!F56,'Step 4 Stage Discharge'!E$26:E$126,1)+1,9)-INDEX('Step 4 Stage Discharge'!E$26:M$126,MATCH('Step 5 Routing'!F56,'Step 4 Stage Discharge'!E$26:E$126,1),9))*('Step 5 Routing'!F56-INDEX('Step 4 Stage Discharge'!E$26:M$126,MATCH('Step 5 Routing'!F56,'Step 4 Stage Discharge'!E$26:E$126,1),1))/(INDEX('Step 4 Stage Discharge'!E$26:M$126,MATCH('Step 5 Routing'!F56,'Step 4 Stage Discharge'!E$26:E$126,1)+1,1)-INDEX('Step 4 Stage Discharge'!E$26:M$126,MATCH('Step 5 Routing'!F56,'Step 4 Stage Discharge'!E$26:E$126,1),1))</f>
        <v>9.8343218927016848E-2</v>
      </c>
      <c r="J56" s="149"/>
      <c r="K56" s="6">
        <f t="shared" si="1"/>
        <v>5.9005931356210111</v>
      </c>
      <c r="L56" s="6">
        <f t="shared" si="2"/>
        <v>198.74360864057087</v>
      </c>
    </row>
    <row r="57" spans="1:12">
      <c r="A57">
        <f t="shared" si="3"/>
        <v>44</v>
      </c>
      <c r="B57" s="136">
        <f>IF(C$5=Data!D$3,'Step 2 Inflow Hydrograph'!H101,IF(C$5=Data!D$4,'Step 2 Inflow Hydrograph'!I101,IF(C$5=Data!D$5,'Step 2 Inflow Hydrograph'!J101,'Step 2 Inflow Hydrograph'!K101)))</f>
        <v>3.4023966849591226E-3</v>
      </c>
      <c r="C57" s="127"/>
      <c r="D57" s="6">
        <f t="shared" si="0"/>
        <v>0.20414380109754737</v>
      </c>
      <c r="E57" s="6"/>
      <c r="F57" s="6">
        <f t="shared" si="4"/>
        <v>198.94775244166843</v>
      </c>
      <c r="G57" s="149">
        <f>INDEX('Step 4 Stage Discharge'!E$26:F$126,MATCH(F57,'Step 4 Stage Discharge'!E$26:E$126,1),2)+(INDEX('Step 4 Stage Discharge'!E$26:F$126,MATCH(F57,'Step 4 Stage Discharge'!E$26:E$126,1)+1,2)-INDEX('Step 4 Stage Discharge'!E$26:F$126,MATCH(F57,'Step 4 Stage Discharge'!E$26:E$126,1),2))*(F57-INDEX('Step 4 Stage Discharge'!E$26:F$126,MATCH(F57,'Step 4 Stage Discharge'!E$26:E$126,1),1))/(INDEX('Step 4 Stage Discharge'!E$26:F$126,MATCH(F57,'Step 4 Stage Discharge'!E$26:E$126,1)+1,1)-INDEX('Step 4 Stage Discharge'!E$26:F$126,MATCH(F57,'Step 4 Stage Discharge'!E$26:E$126,1),1))</f>
        <v>0.44324214414527296</v>
      </c>
      <c r="H57" s="149"/>
      <c r="I57" s="149">
        <f>INDEX('Step 4 Stage Discharge'!E$26:M$126,MATCH(F57,'Step 4 Stage Discharge'!E$26:E$126,1),9)+(INDEX('Step 4 Stage Discharge'!E$26:M$126,MATCH('Step 5 Routing'!F57,'Step 4 Stage Discharge'!E$26:E$126,1)+1,9)-INDEX('Step 4 Stage Discharge'!E$26:M$126,MATCH('Step 5 Routing'!F57,'Step 4 Stage Discharge'!E$26:E$126,1),9))*('Step 5 Routing'!F57-INDEX('Step 4 Stage Discharge'!E$26:M$126,MATCH('Step 5 Routing'!F57,'Step 4 Stage Discharge'!E$26:E$126,1),1))/(INDEX('Step 4 Stage Discharge'!E$26:M$126,MATCH('Step 5 Routing'!F57,'Step 4 Stage Discharge'!E$26:E$126,1)+1,1)-INDEX('Step 4 Stage Discharge'!E$26:M$126,MATCH('Step 5 Routing'!F57,'Step 4 Stage Discharge'!E$26:E$126,1),1))</f>
        <v>9.7047860913025766E-2</v>
      </c>
      <c r="J57" s="149"/>
      <c r="K57" s="6">
        <f t="shared" si="1"/>
        <v>5.8228716547815456</v>
      </c>
      <c r="L57" s="6">
        <f t="shared" si="2"/>
        <v>193.12488078688688</v>
      </c>
    </row>
    <row r="58" spans="1:12">
      <c r="A58">
        <f t="shared" si="3"/>
        <v>45</v>
      </c>
      <c r="B58" s="136">
        <f>IF(C$5=Data!D$3,'Step 2 Inflow Hydrograph'!H102,IF(C$5=Data!D$4,'Step 2 Inflow Hydrograph'!I102,IF(C$5=Data!D$5,'Step 2 Inflow Hydrograph'!J102,'Step 2 Inflow Hydrograph'!K102)))</f>
        <v>2.7438682943218733E-3</v>
      </c>
      <c r="C58" s="127"/>
      <c r="D58" s="6">
        <f t="shared" si="0"/>
        <v>0.16463209765931239</v>
      </c>
      <c r="E58" s="6"/>
      <c r="F58" s="6">
        <f t="shared" si="4"/>
        <v>193.28951288454618</v>
      </c>
      <c r="G58" s="149">
        <f>INDEX('Step 4 Stage Discharge'!E$26:F$126,MATCH(F58,'Step 4 Stage Discharge'!E$26:E$126,1),2)+(INDEX('Step 4 Stage Discharge'!E$26:F$126,MATCH(F58,'Step 4 Stage Discharge'!E$26:E$126,1)+1,2)-INDEX('Step 4 Stage Discharge'!E$26:F$126,MATCH(F58,'Step 4 Stage Discharge'!E$26:E$126,1),2))*(F58-INDEX('Step 4 Stage Discharge'!E$26:F$126,MATCH(F58,'Step 4 Stage Discharge'!E$26:E$126,1),1))/(INDEX('Step 4 Stage Discharge'!E$26:F$126,MATCH(F58,'Step 4 Stage Discharge'!E$26:E$126,1)+1,1)-INDEX('Step 4 Stage Discharge'!E$26:F$126,MATCH(F58,'Step 4 Stage Discharge'!E$26:E$126,1),1))</f>
        <v>0.4323676062510497</v>
      </c>
      <c r="H58" s="149"/>
      <c r="I58" s="149">
        <f>INDEX('Step 4 Stage Discharge'!E$26:M$126,MATCH(F58,'Step 4 Stage Discharge'!E$26:E$126,1),9)+(INDEX('Step 4 Stage Discharge'!E$26:M$126,MATCH('Step 5 Routing'!F58,'Step 4 Stage Discharge'!E$26:E$126,1)+1,9)-INDEX('Step 4 Stage Discharge'!E$26:M$126,MATCH('Step 5 Routing'!F58,'Step 4 Stage Discharge'!E$26:E$126,1),9))*('Step 5 Routing'!F58-INDEX('Step 4 Stage Discharge'!E$26:M$126,MATCH('Step 5 Routing'!F58,'Step 4 Stage Discharge'!E$26:E$126,1),1))/(INDEX('Step 4 Stage Discharge'!E$26:M$126,MATCH('Step 5 Routing'!F58,'Step 4 Stage Discharge'!E$26:E$126,1)+1,1)-INDEX('Step 4 Stage Discharge'!E$26:M$126,MATCH('Step 5 Routing'!F58,'Step 4 Stage Discharge'!E$26:E$126,1),1))</f>
        <v>9.5761191704720985E-2</v>
      </c>
      <c r="J58" s="149"/>
      <c r="K58" s="6">
        <f t="shared" si="1"/>
        <v>5.7456715022832592</v>
      </c>
      <c r="L58" s="6">
        <f t="shared" si="2"/>
        <v>187.54384138226291</v>
      </c>
    </row>
    <row r="59" spans="1:12">
      <c r="A59">
        <f t="shared" si="3"/>
        <v>46</v>
      </c>
      <c r="B59" s="136">
        <f>IF(C$5=Data!D$3,'Step 2 Inflow Hydrograph'!H103,IF(C$5=Data!D$4,'Step 2 Inflow Hydrograph'!I103,IF(C$5=Data!D$5,'Step 2 Inflow Hydrograph'!J103,'Step 2 Inflow Hydrograph'!K103)))</f>
        <v>2.1950946354574986E-3</v>
      </c>
      <c r="C59" s="127"/>
      <c r="D59" s="6">
        <f t="shared" si="0"/>
        <v>0.1317056781274499</v>
      </c>
      <c r="E59" s="6"/>
      <c r="F59" s="6">
        <f t="shared" si="4"/>
        <v>187.67554706039036</v>
      </c>
      <c r="G59" s="149">
        <f>INDEX('Step 4 Stage Discharge'!E$26:F$126,MATCH(F59,'Step 4 Stage Discharge'!E$26:E$126,1),2)+(INDEX('Step 4 Stage Discharge'!E$26:F$126,MATCH(F59,'Step 4 Stage Discharge'!E$26:E$126,1)+1,2)-INDEX('Step 4 Stage Discharge'!E$26:F$126,MATCH(F59,'Step 4 Stage Discharge'!E$26:E$126,1),2))*(F59-INDEX('Step 4 Stage Discharge'!E$26:F$126,MATCH(F59,'Step 4 Stage Discharge'!E$26:E$126,1),1))/(INDEX('Step 4 Stage Discharge'!E$26:F$126,MATCH(F59,'Step 4 Stage Discharge'!E$26:E$126,1)+1,1)-INDEX('Step 4 Stage Discharge'!E$26:F$126,MATCH(F59,'Step 4 Stage Discharge'!E$26:E$126,1),1))</f>
        <v>0.42157815778826557</v>
      </c>
      <c r="H59" s="149"/>
      <c r="I59" s="149">
        <f>INDEX('Step 4 Stage Discharge'!E$26:M$126,MATCH(F59,'Step 4 Stage Discharge'!E$26:E$126,1),9)+(INDEX('Step 4 Stage Discharge'!E$26:M$126,MATCH('Step 5 Routing'!F59,'Step 4 Stage Discharge'!E$26:E$126,1)+1,9)-INDEX('Step 4 Stage Discharge'!E$26:M$126,MATCH('Step 5 Routing'!F59,'Step 4 Stage Discharge'!E$26:E$126,1),9))*('Step 5 Routing'!F59-INDEX('Step 4 Stage Discharge'!E$26:M$126,MATCH('Step 5 Routing'!F59,'Step 4 Stage Discharge'!E$26:E$126,1),1))/(INDEX('Step 4 Stage Discharge'!E$26:M$126,MATCH('Step 5 Routing'!F59,'Step 4 Stage Discharge'!E$26:E$126,1)+1,1)-INDEX('Step 4 Stage Discharge'!E$26:M$126,MATCH('Step 5 Routing'!F59,'Step 4 Stage Discharge'!E$26:E$126,1),1))</f>
        <v>9.4484590230093701E-2</v>
      </c>
      <c r="J59" s="149"/>
      <c r="K59" s="6">
        <f t="shared" si="1"/>
        <v>5.6690754138056221</v>
      </c>
      <c r="L59" s="6">
        <f t="shared" si="2"/>
        <v>182.00647164658474</v>
      </c>
    </row>
    <row r="60" spans="1:12">
      <c r="A60">
        <f t="shared" si="3"/>
        <v>47</v>
      </c>
      <c r="B60" s="136">
        <f>IF(C$5=Data!D$3,'Step 2 Inflow Hydrograph'!H104,IF(C$5=Data!D$4,'Step 2 Inflow Hydrograph'!I104,IF(C$5=Data!D$5,'Step 2 Inflow Hydrograph'!J104,'Step 2 Inflow Hydrograph'!K104)))</f>
        <v>1.646320976593124E-3</v>
      </c>
      <c r="C60" s="127"/>
      <c r="D60" s="6">
        <f t="shared" si="0"/>
        <v>9.8779258595587435E-2</v>
      </c>
      <c r="E60" s="6"/>
      <c r="F60" s="6">
        <f t="shared" si="4"/>
        <v>182.10525090518033</v>
      </c>
      <c r="G60" s="149">
        <f>INDEX('Step 4 Stage Discharge'!E$26:F$126,MATCH(F60,'Step 4 Stage Discharge'!E$26:E$126,1),2)+(INDEX('Step 4 Stage Discharge'!E$26:F$126,MATCH(F60,'Step 4 Stage Discharge'!E$26:E$126,1)+1,2)-INDEX('Step 4 Stage Discharge'!E$26:F$126,MATCH(F60,'Step 4 Stage Discharge'!E$26:E$126,1),2))*(F60-INDEX('Step 4 Stage Discharge'!E$26:F$126,MATCH(F60,'Step 4 Stage Discharge'!E$26:E$126,1),1))/(INDEX('Step 4 Stage Discharge'!E$26:F$126,MATCH(F60,'Step 4 Stage Discharge'!E$26:E$126,1)+1,1)-INDEX('Step 4 Stage Discharge'!E$26:F$126,MATCH(F60,'Step 4 Stage Discharge'!E$26:E$126,1),1))</f>
        <v>0.41087263780977157</v>
      </c>
      <c r="H60" s="149"/>
      <c r="I60" s="149">
        <f>INDEX('Step 4 Stage Discharge'!E$26:M$126,MATCH(F60,'Step 4 Stage Discharge'!E$26:E$126,1),9)+(INDEX('Step 4 Stage Discharge'!E$26:M$126,MATCH('Step 5 Routing'!F60,'Step 4 Stage Discharge'!E$26:E$126,1)+1,9)-INDEX('Step 4 Stage Discharge'!E$26:M$126,MATCH('Step 5 Routing'!F60,'Step 4 Stage Discharge'!E$26:E$126,1),9))*('Step 5 Routing'!F60-INDEX('Step 4 Stage Discharge'!E$26:M$126,MATCH('Step 5 Routing'!F60,'Step 4 Stage Discharge'!E$26:E$126,1),1))/(INDEX('Step 4 Stage Discharge'!E$26:M$126,MATCH('Step 5 Routing'!F60,'Step 4 Stage Discharge'!E$26:E$126,1)+1,1)-INDEX('Step 4 Stage Discharge'!E$26:M$126,MATCH('Step 5 Routing'!F60,'Step 4 Stage Discharge'!E$26:E$126,1),1))</f>
        <v>9.3217919126530102E-2</v>
      </c>
      <c r="J60" s="149"/>
      <c r="K60" s="6">
        <f t="shared" si="1"/>
        <v>5.5930751475918061</v>
      </c>
      <c r="L60" s="6">
        <f t="shared" si="2"/>
        <v>176.51217575758852</v>
      </c>
    </row>
    <row r="61" spans="1:12">
      <c r="A61">
        <f t="shared" si="3"/>
        <v>48</v>
      </c>
      <c r="B61" s="136">
        <f>IF(C$5=Data!D$3,'Step 2 Inflow Hydrograph'!H105,IF(C$5=Data!D$4,'Step 2 Inflow Hydrograph'!I105,IF(C$5=Data!D$5,'Step 2 Inflow Hydrograph'!J105,'Step 2 Inflow Hydrograph'!K105)))</f>
        <v>1.0975473177287491E-3</v>
      </c>
      <c r="C61" s="127"/>
      <c r="D61" s="6">
        <f t="shared" si="0"/>
        <v>6.5852839063724938E-2</v>
      </c>
      <c r="E61" s="6"/>
      <c r="F61" s="6">
        <f t="shared" si="4"/>
        <v>176.57802859665225</v>
      </c>
      <c r="G61" s="149">
        <f>INDEX('Step 4 Stage Discharge'!E$26:F$126,MATCH(F61,'Step 4 Stage Discharge'!E$26:E$126,1),2)+(INDEX('Step 4 Stage Discharge'!E$26:F$126,MATCH(F61,'Step 4 Stage Discharge'!E$26:E$126,1)+1,2)-INDEX('Step 4 Stage Discharge'!E$26:F$126,MATCH(F61,'Step 4 Stage Discharge'!E$26:E$126,1),2))*(F61-INDEX('Step 4 Stage Discharge'!E$26:F$126,MATCH(F61,'Step 4 Stage Discharge'!E$26:E$126,1),1))/(INDEX('Step 4 Stage Discharge'!E$26:F$126,MATCH(F61,'Step 4 Stage Discharge'!E$26:E$126,1)+1,1)-INDEX('Step 4 Stage Discharge'!E$26:F$126,MATCH(F61,'Step 4 Stage Discharge'!E$26:E$126,1),1))</f>
        <v>0.40024990120820314</v>
      </c>
      <c r="H61" s="149"/>
      <c r="I61" s="149">
        <f>INDEX('Step 4 Stage Discharge'!E$26:M$126,MATCH(F61,'Step 4 Stage Discharge'!E$26:E$126,1),9)+(INDEX('Step 4 Stage Discharge'!E$26:M$126,MATCH('Step 5 Routing'!F61,'Step 4 Stage Discharge'!E$26:E$126,1)+1,9)-INDEX('Step 4 Stage Discharge'!E$26:M$126,MATCH('Step 5 Routing'!F61,'Step 4 Stage Discharge'!E$26:E$126,1),9))*('Step 5 Routing'!F61-INDEX('Step 4 Stage Discharge'!E$26:M$126,MATCH('Step 5 Routing'!F61,'Step 4 Stage Discharge'!E$26:E$126,1),1))/(INDEX('Step 4 Stage Discharge'!E$26:M$126,MATCH('Step 5 Routing'!F61,'Step 4 Stage Discharge'!E$26:E$126,1)+1,1)-INDEX('Step 4 Stage Discharge'!E$26:M$126,MATCH('Step 5 Routing'!F61,'Step 4 Stage Discharge'!E$26:E$126,1),1))</f>
        <v>9.1961042905570792E-2</v>
      </c>
      <c r="J61" s="149"/>
      <c r="K61" s="6">
        <f t="shared" si="1"/>
        <v>5.5176625743342473</v>
      </c>
      <c r="L61" s="6">
        <f t="shared" si="2"/>
        <v>171.06036602231799</v>
      </c>
    </row>
    <row r="62" spans="1:12">
      <c r="A62">
        <f t="shared" si="3"/>
        <v>49</v>
      </c>
      <c r="B62" s="136">
        <f>IF(C$5=Data!D$3,'Step 2 Inflow Hydrograph'!H106,IF(C$5=Data!D$4,'Step 2 Inflow Hydrograph'!I106,IF(C$5=Data!D$5,'Step 2 Inflow Hydrograph'!J106,'Step 2 Inflow Hydrograph'!K106)))</f>
        <v>5.4877365886437475E-4</v>
      </c>
      <c r="C62" s="127"/>
      <c r="D62" s="6">
        <f t="shared" si="0"/>
        <v>3.2926419531862483E-2</v>
      </c>
      <c r="E62" s="6"/>
      <c r="F62" s="6">
        <f t="shared" si="4"/>
        <v>171.09329244184985</v>
      </c>
      <c r="G62" s="149">
        <f>INDEX('Step 4 Stage Discharge'!E$26:F$126,MATCH(F62,'Step 4 Stage Discharge'!E$26:E$126,1),2)+(INDEX('Step 4 Stage Discharge'!E$26:F$126,MATCH(F62,'Step 4 Stage Discharge'!E$26:E$126,1)+1,2)-INDEX('Step 4 Stage Discharge'!E$26:F$126,MATCH(F62,'Step 4 Stage Discharge'!E$26:E$126,1),2))*(F62-INDEX('Step 4 Stage Discharge'!E$26:F$126,MATCH(F62,'Step 4 Stage Discharge'!E$26:E$126,1),1))/(INDEX('Step 4 Stage Discharge'!E$26:F$126,MATCH(F62,'Step 4 Stage Discharge'!E$26:E$126,1)+1,1)-INDEX('Step 4 Stage Discharge'!E$26:F$126,MATCH(F62,'Step 4 Stage Discharge'!E$26:E$126,1),1))</f>
        <v>0.38902543950206969</v>
      </c>
      <c r="H62" s="149"/>
      <c r="I62" s="149">
        <f>INDEX('Step 4 Stage Discharge'!E$26:M$126,MATCH(F62,'Step 4 Stage Discharge'!E$26:E$126,1),9)+(INDEX('Step 4 Stage Discharge'!E$26:M$126,MATCH('Step 5 Routing'!F62,'Step 4 Stage Discharge'!E$26:E$126,1)+1,9)-INDEX('Step 4 Stage Discharge'!E$26:M$126,MATCH('Step 5 Routing'!F62,'Step 4 Stage Discharge'!E$26:E$126,1),9))*('Step 5 Routing'!F62-INDEX('Step 4 Stage Discharge'!E$26:M$126,MATCH('Step 5 Routing'!F62,'Step 4 Stage Discharge'!E$26:E$126,1),1))/(INDEX('Step 4 Stage Discharge'!E$26:M$126,MATCH('Step 5 Routing'!F62,'Step 4 Stage Discharge'!E$26:E$126,1)+1,1)-INDEX('Step 4 Stage Discharge'!E$26:M$126,MATCH('Step 5 Routing'!F62,'Step 4 Stage Discharge'!E$26:E$126,1),1))</f>
        <v>9.0439022170831856E-2</v>
      </c>
      <c r="J62" s="149"/>
      <c r="K62" s="6">
        <f t="shared" si="1"/>
        <v>5.4263413302499117</v>
      </c>
      <c r="L62" s="6">
        <f t="shared" si="2"/>
        <v>165.66695111159993</v>
      </c>
    </row>
    <row r="63" spans="1:12">
      <c r="A63">
        <f t="shared" si="3"/>
        <v>50</v>
      </c>
      <c r="B63" s="136" t="str">
        <f>IF(C$5=Data!D$3,'Step 2 Inflow Hydrograph'!H107,IF(C$5=Data!D$4,'Step 2 Inflow Hydrograph'!I107,IF(C$5=Data!D$5,'Step 2 Inflow Hydrograph'!J107,'Step 2 Inflow Hydrograph'!K107)))</f>
        <v/>
      </c>
      <c r="C63" s="127"/>
      <c r="D63" s="6">
        <f t="shared" si="0"/>
        <v>0</v>
      </c>
      <c r="E63" s="6"/>
      <c r="F63" s="6">
        <f t="shared" si="4"/>
        <v>165.66695111159993</v>
      </c>
      <c r="G63" s="149">
        <f>INDEX('Step 4 Stage Discharge'!E$26:F$126,MATCH(F63,'Step 4 Stage Discharge'!E$26:E$126,1),2)+(INDEX('Step 4 Stage Discharge'!E$26:F$126,MATCH(F63,'Step 4 Stage Discharge'!E$26:E$126,1)+1,2)-INDEX('Step 4 Stage Discharge'!E$26:F$126,MATCH(F63,'Step 4 Stage Discharge'!E$26:E$126,1),2))*(F63-INDEX('Step 4 Stage Discharge'!E$26:F$126,MATCH(F63,'Step 4 Stage Discharge'!E$26:E$126,1),1))/(INDEX('Step 4 Stage Discharge'!E$26:F$126,MATCH(F63,'Step 4 Stage Discharge'!E$26:E$126,1)+1,1)-INDEX('Step 4 Stage Discharge'!E$26:F$126,MATCH(F63,'Step 4 Stage Discharge'!E$26:E$126,1),1))</f>
        <v>0.3779040644195768</v>
      </c>
      <c r="H63" s="149"/>
      <c r="I63" s="149">
        <f>INDEX('Step 4 Stage Discharge'!E$26:M$126,MATCH(F63,'Step 4 Stage Discharge'!E$26:E$126,1),9)+(INDEX('Step 4 Stage Discharge'!E$26:M$126,MATCH('Step 5 Routing'!F63,'Step 4 Stage Discharge'!E$26:E$126,1)+1,9)-INDEX('Step 4 Stage Discharge'!E$26:M$126,MATCH('Step 5 Routing'!F63,'Step 4 Stage Discharge'!E$26:E$126,1),9))*('Step 5 Routing'!F63-INDEX('Step 4 Stage Discharge'!E$26:M$126,MATCH('Step 5 Routing'!F63,'Step 4 Stage Discharge'!E$26:E$126,1),1))/(INDEX('Step 4 Stage Discharge'!E$26:M$126,MATCH('Step 5 Routing'!F63,'Step 4 Stage Discharge'!E$26:E$126,1)+1,1)-INDEX('Step 4 Stage Discharge'!E$26:M$126,MATCH('Step 5 Routing'!F63,'Step 4 Stage Discharge'!E$26:E$126,1),1))</f>
        <v>8.8926603995750406E-2</v>
      </c>
      <c r="J63" s="149"/>
      <c r="K63" s="6">
        <f t="shared" si="1"/>
        <v>5.3355962397450245</v>
      </c>
      <c r="L63" s="6">
        <f t="shared" si="2"/>
        <v>160.3313548718549</v>
      </c>
    </row>
    <row r="64" spans="1:12">
      <c r="A64">
        <f t="shared" si="3"/>
        <v>51</v>
      </c>
      <c r="B64" s="136" t="str">
        <f>IF(C$5=Data!D$3,'Step 2 Inflow Hydrograph'!H108,IF(C$5=Data!D$4,'Step 2 Inflow Hydrograph'!I108,IF(C$5=Data!D$5,'Step 2 Inflow Hydrograph'!J108,'Step 2 Inflow Hydrograph'!K108)))</f>
        <v/>
      </c>
      <c r="C64" s="127"/>
      <c r="D64" s="6">
        <f t="shared" si="0"/>
        <v>0</v>
      </c>
      <c r="E64" s="6"/>
      <c r="F64" s="6">
        <f t="shared" si="4"/>
        <v>160.3313548718549</v>
      </c>
      <c r="G64" s="149">
        <f>INDEX('Step 4 Stage Discharge'!E$26:F$126,MATCH(F64,'Step 4 Stage Discharge'!E$26:E$126,1),2)+(INDEX('Step 4 Stage Discharge'!E$26:F$126,MATCH(F64,'Step 4 Stage Discharge'!E$26:E$126,1)+1,2)-INDEX('Step 4 Stage Discharge'!E$26:F$126,MATCH(F64,'Step 4 Stage Discharge'!E$26:E$126,1),2))*(F64-INDEX('Step 4 Stage Discharge'!E$26:F$126,MATCH(F64,'Step 4 Stage Discharge'!E$26:E$126,1),1))/(INDEX('Step 4 Stage Discharge'!E$26:F$126,MATCH(F64,'Step 4 Stage Discharge'!E$26:E$126,1)+1,1)-INDEX('Step 4 Stage Discharge'!E$26:F$126,MATCH(F64,'Step 4 Stage Discharge'!E$26:E$126,1),1))</f>
        <v>0.36696867288050272</v>
      </c>
      <c r="H64" s="149"/>
      <c r="I64" s="149">
        <f>INDEX('Step 4 Stage Discharge'!E$26:M$126,MATCH(F64,'Step 4 Stage Discharge'!E$26:E$126,1),9)+(INDEX('Step 4 Stage Discharge'!E$26:M$126,MATCH('Step 5 Routing'!F64,'Step 4 Stage Discharge'!E$26:E$126,1)+1,9)-INDEX('Step 4 Stage Discharge'!E$26:M$126,MATCH('Step 5 Routing'!F64,'Step 4 Stage Discharge'!E$26:E$126,1),9))*('Step 5 Routing'!F64-INDEX('Step 4 Stage Discharge'!E$26:M$126,MATCH('Step 5 Routing'!F64,'Step 4 Stage Discharge'!E$26:E$126,1),1))/(INDEX('Step 4 Stage Discharge'!E$26:M$126,MATCH('Step 5 Routing'!F64,'Step 4 Stage Discharge'!E$26:E$126,1)+1,1)-INDEX('Step 4 Stage Discharge'!E$26:M$126,MATCH('Step 5 Routing'!F64,'Step 4 Stage Discharge'!E$26:E$126,1),1))</f>
        <v>8.7439478096960871E-2</v>
      </c>
      <c r="J64" s="149"/>
      <c r="K64" s="6">
        <f t="shared" si="1"/>
        <v>5.2463686858176519</v>
      </c>
      <c r="L64" s="6">
        <f t="shared" si="2"/>
        <v>155.08498618603724</v>
      </c>
    </row>
    <row r="65" spans="1:12">
      <c r="A65">
        <f t="shared" si="3"/>
        <v>52</v>
      </c>
      <c r="B65" s="136" t="str">
        <f>IF(C$5=Data!D$3,'Step 2 Inflow Hydrograph'!H109,IF(C$5=Data!D$4,'Step 2 Inflow Hydrograph'!I109,IF(C$5=Data!D$5,'Step 2 Inflow Hydrograph'!J109,'Step 2 Inflow Hydrograph'!K109)))</f>
        <v/>
      </c>
      <c r="C65" s="127"/>
      <c r="D65" s="6">
        <f t="shared" si="0"/>
        <v>0</v>
      </c>
      <c r="E65" s="6"/>
      <c r="F65" s="6">
        <f t="shared" si="4"/>
        <v>155.08498618603724</v>
      </c>
      <c r="G65" s="149">
        <f>INDEX('Step 4 Stage Discharge'!E$26:F$126,MATCH(F65,'Step 4 Stage Discharge'!E$26:E$126,1),2)+(INDEX('Step 4 Stage Discharge'!E$26:F$126,MATCH(F65,'Step 4 Stage Discharge'!E$26:E$126,1)+1,2)-INDEX('Step 4 Stage Discharge'!E$26:F$126,MATCH(F65,'Step 4 Stage Discharge'!E$26:E$126,1),2))*(F65-INDEX('Step 4 Stage Discharge'!E$26:F$126,MATCH(F65,'Step 4 Stage Discharge'!E$26:E$126,1),1))/(INDEX('Step 4 Stage Discharge'!E$26:F$126,MATCH(F65,'Step 4 Stage Discharge'!E$26:E$126,1)+1,1)-INDEX('Step 4 Stage Discharge'!E$26:F$126,MATCH(F65,'Step 4 Stage Discharge'!E$26:E$126,1),1))</f>
        <v>0.35621615466887446</v>
      </c>
      <c r="H65" s="149"/>
      <c r="I65" s="149">
        <f>INDEX('Step 4 Stage Discharge'!E$26:M$126,MATCH(F65,'Step 4 Stage Discharge'!E$26:E$126,1),9)+(INDEX('Step 4 Stage Discharge'!E$26:M$126,MATCH('Step 5 Routing'!F65,'Step 4 Stage Discharge'!E$26:E$126,1)+1,9)-INDEX('Step 4 Stage Discharge'!E$26:M$126,MATCH('Step 5 Routing'!F65,'Step 4 Stage Discharge'!E$26:E$126,1),9))*('Step 5 Routing'!F65-INDEX('Step 4 Stage Discharge'!E$26:M$126,MATCH('Step 5 Routing'!F65,'Step 4 Stage Discharge'!E$26:E$126,1),1))/(INDEX('Step 4 Stage Discharge'!E$26:M$126,MATCH('Step 5 Routing'!F65,'Step 4 Stage Discharge'!E$26:E$126,1)+1,1)-INDEX('Step 4 Stage Discharge'!E$26:M$126,MATCH('Step 5 Routing'!F65,'Step 4 Stage Discharge'!E$26:E$126,1),1))</f>
        <v>8.5977221509934976E-2</v>
      </c>
      <c r="J65" s="149"/>
      <c r="K65" s="6">
        <f t="shared" si="1"/>
        <v>5.1586332905960983</v>
      </c>
      <c r="L65" s="6">
        <f t="shared" si="2"/>
        <v>149.92635289544114</v>
      </c>
    </row>
    <row r="66" spans="1:12">
      <c r="A66">
        <f t="shared" si="3"/>
        <v>53</v>
      </c>
      <c r="B66" s="136" t="str">
        <f>IF(C$5=Data!D$3,'Step 2 Inflow Hydrograph'!H110,IF(C$5=Data!D$4,'Step 2 Inflow Hydrograph'!I110,IF(C$5=Data!D$5,'Step 2 Inflow Hydrograph'!J110,'Step 2 Inflow Hydrograph'!K110)))</f>
        <v/>
      </c>
      <c r="C66" s="127"/>
      <c r="D66" s="6">
        <f t="shared" si="0"/>
        <v>0</v>
      </c>
      <c r="E66" s="6"/>
      <c r="F66" s="6">
        <f t="shared" si="4"/>
        <v>149.92635289544114</v>
      </c>
      <c r="G66" s="149">
        <f>INDEX('Step 4 Stage Discharge'!E$26:F$126,MATCH(F66,'Step 4 Stage Discharge'!E$26:E$126,1),2)+(INDEX('Step 4 Stage Discharge'!E$26:F$126,MATCH(F66,'Step 4 Stage Discharge'!E$26:E$126,1)+1,2)-INDEX('Step 4 Stage Discharge'!E$26:F$126,MATCH(F66,'Step 4 Stage Discharge'!E$26:E$126,1),2))*(F66-INDEX('Step 4 Stage Discharge'!E$26:F$126,MATCH(F66,'Step 4 Stage Discharge'!E$26:E$126,1),1))/(INDEX('Step 4 Stage Discharge'!E$26:F$126,MATCH(F66,'Step 4 Stage Discharge'!E$26:E$126,1)+1,1)-INDEX('Step 4 Stage Discharge'!E$26:F$126,MATCH(F66,'Step 4 Stage Discharge'!E$26:E$126,1),1))</f>
        <v>0.34564345158108117</v>
      </c>
      <c r="H66" s="149"/>
      <c r="I66" s="149">
        <f>INDEX('Step 4 Stage Discharge'!E$26:M$126,MATCH(F66,'Step 4 Stage Discharge'!E$26:E$126,1),9)+(INDEX('Step 4 Stage Discharge'!E$26:M$126,MATCH('Step 5 Routing'!F66,'Step 4 Stage Discharge'!E$26:E$126,1)+1,9)-INDEX('Step 4 Stage Discharge'!E$26:M$126,MATCH('Step 5 Routing'!F66,'Step 4 Stage Discharge'!E$26:E$126,1),9))*('Step 5 Routing'!F66-INDEX('Step 4 Stage Discharge'!E$26:M$126,MATCH('Step 5 Routing'!F66,'Step 4 Stage Discharge'!E$26:E$126,1),1))/(INDEX('Step 4 Stage Discharge'!E$26:M$126,MATCH('Step 5 Routing'!F66,'Step 4 Stage Discharge'!E$26:E$126,1)+1,1)-INDEX('Step 4 Stage Discharge'!E$26:M$126,MATCH('Step 5 Routing'!F66,'Step 4 Stage Discharge'!E$26:E$126,1),1))</f>
        <v>8.4539418343410166E-2</v>
      </c>
      <c r="J66" s="149"/>
      <c r="K66" s="6">
        <f t="shared" si="1"/>
        <v>5.0723651006046104</v>
      </c>
      <c r="L66" s="6">
        <f t="shared" si="2"/>
        <v>144.85398779483654</v>
      </c>
    </row>
    <row r="67" spans="1:12">
      <c r="A67">
        <f t="shared" si="3"/>
        <v>54</v>
      </c>
      <c r="B67" s="136" t="str">
        <f>IF(C$5=Data!D$3,'Step 2 Inflow Hydrograph'!H111,IF(C$5=Data!D$4,'Step 2 Inflow Hydrograph'!I111,IF(C$5=Data!D$5,'Step 2 Inflow Hydrograph'!J111,'Step 2 Inflow Hydrograph'!K111)))</f>
        <v/>
      </c>
      <c r="C67" s="127"/>
      <c r="D67" s="6">
        <f t="shared" si="0"/>
        <v>0</v>
      </c>
      <c r="E67" s="6"/>
      <c r="F67" s="6">
        <f t="shared" si="4"/>
        <v>144.85398779483654</v>
      </c>
      <c r="G67" s="149">
        <f>INDEX('Step 4 Stage Discharge'!E$26:F$126,MATCH(F67,'Step 4 Stage Discharge'!E$26:E$126,1),2)+(INDEX('Step 4 Stage Discharge'!E$26:F$126,MATCH(F67,'Step 4 Stage Discharge'!E$26:E$126,1)+1,2)-INDEX('Step 4 Stage Discharge'!E$26:F$126,MATCH(F67,'Step 4 Stage Discharge'!E$26:E$126,1),2))*(F67-INDEX('Step 4 Stage Discharge'!E$26:F$126,MATCH(F67,'Step 4 Stage Discharge'!E$26:E$126,1),1))/(INDEX('Step 4 Stage Discharge'!E$26:F$126,MATCH(F67,'Step 4 Stage Discharge'!E$26:E$126,1)+1,1)-INDEX('Step 4 Stage Discharge'!E$26:F$126,MATCH(F67,'Step 4 Stage Discharge'!E$26:E$126,1),1))</f>
        <v>0.33524755655606764</v>
      </c>
      <c r="H67" s="149"/>
      <c r="I67" s="149">
        <f>INDEX('Step 4 Stage Discharge'!E$26:M$126,MATCH(F67,'Step 4 Stage Discharge'!E$26:E$126,1),9)+(INDEX('Step 4 Stage Discharge'!E$26:M$126,MATCH('Step 5 Routing'!F67,'Step 4 Stage Discharge'!E$26:E$126,1)+1,9)-INDEX('Step 4 Stage Discharge'!E$26:M$126,MATCH('Step 5 Routing'!F67,'Step 4 Stage Discharge'!E$26:E$126,1),9))*('Step 5 Routing'!F67-INDEX('Step 4 Stage Discharge'!E$26:M$126,MATCH('Step 5 Routing'!F67,'Step 4 Stage Discharge'!E$26:E$126,1),1))/(INDEX('Step 4 Stage Discharge'!E$26:M$126,MATCH('Step 5 Routing'!F67,'Step 4 Stage Discharge'!E$26:E$126,1)+1,1)-INDEX('Step 4 Stage Discharge'!E$26:M$126,MATCH('Step 5 Routing'!F67,'Step 4 Stage Discharge'!E$26:E$126,1),1))</f>
        <v>8.3125659661102955E-2</v>
      </c>
      <c r="J67" s="149"/>
      <c r="K67" s="6">
        <f t="shared" si="1"/>
        <v>4.9875395796661772</v>
      </c>
      <c r="L67" s="6">
        <f t="shared" si="2"/>
        <v>139.86644821517035</v>
      </c>
    </row>
    <row r="68" spans="1:12">
      <c r="A68">
        <f t="shared" si="3"/>
        <v>55</v>
      </c>
      <c r="B68" s="136" t="str">
        <f>IF(C$5=Data!D$3,'Step 2 Inflow Hydrograph'!H112,IF(C$5=Data!D$4,'Step 2 Inflow Hydrograph'!I112,IF(C$5=Data!D$5,'Step 2 Inflow Hydrograph'!J112,'Step 2 Inflow Hydrograph'!K112)))</f>
        <v/>
      </c>
      <c r="C68" s="127"/>
      <c r="D68" s="6">
        <f t="shared" si="0"/>
        <v>0</v>
      </c>
      <c r="E68" s="6"/>
      <c r="F68" s="6">
        <f t="shared" si="4"/>
        <v>139.86644821517035</v>
      </c>
      <c r="G68" s="149">
        <f>INDEX('Step 4 Stage Discharge'!E$26:F$126,MATCH(F68,'Step 4 Stage Discharge'!E$26:E$126,1),2)+(INDEX('Step 4 Stage Discharge'!E$26:F$126,MATCH(F68,'Step 4 Stage Discharge'!E$26:E$126,1)+1,2)-INDEX('Step 4 Stage Discharge'!E$26:F$126,MATCH(F68,'Step 4 Stage Discharge'!E$26:E$126,1),2))*(F68-INDEX('Step 4 Stage Discharge'!E$26:F$126,MATCH(F68,'Step 4 Stage Discharge'!E$26:E$126,1),1))/(INDEX('Step 4 Stage Discharge'!E$26:F$126,MATCH(F68,'Step 4 Stage Discharge'!E$26:E$126,1)+1,1)-INDEX('Step 4 Stage Discharge'!E$26:F$126,MATCH(F68,'Step 4 Stage Discharge'!E$26:E$126,1),1))</f>
        <v>0.32502551282007364</v>
      </c>
      <c r="H68" s="149"/>
      <c r="I68" s="149">
        <f>INDEX('Step 4 Stage Discharge'!E$26:M$126,MATCH(F68,'Step 4 Stage Discharge'!E$26:E$126,1),9)+(INDEX('Step 4 Stage Discharge'!E$26:M$126,MATCH('Step 5 Routing'!F68,'Step 4 Stage Discharge'!E$26:E$126,1)+1,9)-INDEX('Step 4 Stage Discharge'!E$26:M$126,MATCH('Step 5 Routing'!F68,'Step 4 Stage Discharge'!E$26:E$126,1),9))*('Step 5 Routing'!F68-INDEX('Step 4 Stage Discharge'!E$26:M$126,MATCH('Step 5 Routing'!F68,'Step 4 Stage Discharge'!E$26:E$126,1),1))/(INDEX('Step 4 Stage Discharge'!E$26:M$126,MATCH('Step 5 Routing'!F68,'Step 4 Stage Discharge'!E$26:E$126,1)+1,1)-INDEX('Step 4 Stage Discharge'!E$26:M$126,MATCH('Step 5 Routing'!F68,'Step 4 Stage Discharge'!E$26:E$126,1),1))</f>
        <v>8.1735543365400301E-2</v>
      </c>
      <c r="J68" s="149"/>
      <c r="K68" s="6">
        <f t="shared" si="1"/>
        <v>4.9041326019240179</v>
      </c>
      <c r="L68" s="6">
        <f t="shared" si="2"/>
        <v>134.96231561324635</v>
      </c>
    </row>
    <row r="69" spans="1:12">
      <c r="A69">
        <f t="shared" si="3"/>
        <v>56</v>
      </c>
      <c r="B69" s="136" t="str">
        <f>IF(C$5=Data!D$3,'Step 2 Inflow Hydrograph'!H113,IF(C$5=Data!D$4,'Step 2 Inflow Hydrograph'!I113,IF(C$5=Data!D$5,'Step 2 Inflow Hydrograph'!J113,'Step 2 Inflow Hydrograph'!K113)))</f>
        <v/>
      </c>
      <c r="C69" s="127"/>
      <c r="D69" s="6">
        <f t="shared" si="0"/>
        <v>0</v>
      </c>
      <c r="E69" s="6"/>
      <c r="F69" s="6">
        <f t="shared" si="4"/>
        <v>134.96231561324635</v>
      </c>
      <c r="G69" s="149">
        <f>INDEX('Step 4 Stage Discharge'!E$26:F$126,MATCH(F69,'Step 4 Stage Discharge'!E$26:E$126,1),2)+(INDEX('Step 4 Stage Discharge'!E$26:F$126,MATCH(F69,'Step 4 Stage Discharge'!E$26:E$126,1)+1,2)-INDEX('Step 4 Stage Discharge'!E$26:F$126,MATCH(F69,'Step 4 Stage Discharge'!E$26:E$126,1),2))*(F69-INDEX('Step 4 Stage Discharge'!E$26:F$126,MATCH(F69,'Step 4 Stage Discharge'!E$26:E$126,1),1))/(INDEX('Step 4 Stage Discharge'!E$26:F$126,MATCH(F69,'Step 4 Stage Discharge'!E$26:E$126,1)+1,1)-INDEX('Step 4 Stage Discharge'!E$26:F$126,MATCH(F69,'Step 4 Stage Discharge'!E$26:E$126,1),1))</f>
        <v>0.31497441304567619</v>
      </c>
      <c r="H69" s="149"/>
      <c r="I69" s="149">
        <f>INDEX('Step 4 Stage Discharge'!E$26:M$126,MATCH(F69,'Step 4 Stage Discharge'!E$26:E$126,1),9)+(INDEX('Step 4 Stage Discharge'!E$26:M$126,MATCH('Step 5 Routing'!F69,'Step 4 Stage Discharge'!E$26:E$126,1)+1,9)-INDEX('Step 4 Stage Discharge'!E$26:M$126,MATCH('Step 5 Routing'!F69,'Step 4 Stage Discharge'!E$26:E$126,1),9))*('Step 5 Routing'!F69-INDEX('Step 4 Stage Discharge'!E$26:M$126,MATCH('Step 5 Routing'!F69,'Step 4 Stage Discharge'!E$26:E$126,1),1))/(INDEX('Step 4 Stage Discharge'!E$26:M$126,MATCH('Step 5 Routing'!F69,'Step 4 Stage Discharge'!E$26:E$126,1)+1,1)-INDEX('Step 4 Stage Discharge'!E$26:M$126,MATCH('Step 5 Routing'!F69,'Step 4 Stage Discharge'!E$26:E$126,1),1))</f>
        <v>8.0368674082996014E-2</v>
      </c>
      <c r="J69" s="149"/>
      <c r="K69" s="6">
        <f t="shared" si="1"/>
        <v>4.8221204449797606</v>
      </c>
      <c r="L69" s="6">
        <f t="shared" si="2"/>
        <v>130.14019516826659</v>
      </c>
    </row>
    <row r="70" spans="1:12">
      <c r="A70">
        <f t="shared" si="3"/>
        <v>57</v>
      </c>
      <c r="B70" s="136" t="str">
        <f>IF(C$5=Data!D$3,'Step 2 Inflow Hydrograph'!H114,IF(C$5=Data!D$4,'Step 2 Inflow Hydrograph'!I114,IF(C$5=Data!D$5,'Step 2 Inflow Hydrograph'!J114,'Step 2 Inflow Hydrograph'!K114)))</f>
        <v/>
      </c>
      <c r="C70" s="127"/>
      <c r="D70" s="6">
        <f t="shared" si="0"/>
        <v>0</v>
      </c>
      <c r="E70" s="6"/>
      <c r="F70" s="6">
        <f t="shared" si="4"/>
        <v>130.14019516826659</v>
      </c>
      <c r="G70" s="149">
        <f>INDEX('Step 4 Stage Discharge'!E$26:F$126,MATCH(F70,'Step 4 Stage Discharge'!E$26:E$126,1),2)+(INDEX('Step 4 Stage Discharge'!E$26:F$126,MATCH(F70,'Step 4 Stage Discharge'!E$26:E$126,1)+1,2)-INDEX('Step 4 Stage Discharge'!E$26:F$126,MATCH(F70,'Step 4 Stage Discharge'!E$26:E$126,1),2))*(F70-INDEX('Step 4 Stage Discharge'!E$26:F$126,MATCH(F70,'Step 4 Stage Discharge'!E$26:E$126,1),1))/(INDEX('Step 4 Stage Discharge'!E$26:F$126,MATCH(F70,'Step 4 Stage Discharge'!E$26:E$126,1)+1,1)-INDEX('Step 4 Stage Discharge'!E$26:F$126,MATCH(F70,'Step 4 Stage Discharge'!E$26:E$126,1),1))</f>
        <v>0.30509139852489459</v>
      </c>
      <c r="H70" s="149"/>
      <c r="I70" s="149">
        <f>INDEX('Step 4 Stage Discharge'!E$26:M$126,MATCH(F70,'Step 4 Stage Discharge'!E$26:E$126,1),9)+(INDEX('Step 4 Stage Discharge'!E$26:M$126,MATCH('Step 5 Routing'!F70,'Step 4 Stage Discharge'!E$26:E$126,1)+1,9)-INDEX('Step 4 Stage Discharge'!E$26:M$126,MATCH('Step 5 Routing'!F70,'Step 4 Stage Discharge'!E$26:E$126,1),9))*('Step 5 Routing'!F70-INDEX('Step 4 Stage Discharge'!E$26:M$126,MATCH('Step 5 Routing'!F70,'Step 4 Stage Discharge'!E$26:E$126,1),1))/(INDEX('Step 4 Stage Discharge'!E$26:M$126,MATCH('Step 5 Routing'!F70,'Step 4 Stage Discharge'!E$26:E$126,1)+1,1)-INDEX('Step 4 Stage Discharge'!E$26:M$126,MATCH('Step 5 Routing'!F70,'Step 4 Stage Discharge'!E$26:E$126,1),1))</f>
        <v>7.9024663052439756E-2</v>
      </c>
      <c r="J70" s="149"/>
      <c r="K70" s="6">
        <f t="shared" si="1"/>
        <v>4.7414797831463851</v>
      </c>
      <c r="L70" s="6">
        <f t="shared" si="2"/>
        <v>125.3987153851202</v>
      </c>
    </row>
    <row r="71" spans="1:12">
      <c r="A71">
        <f t="shared" si="3"/>
        <v>58</v>
      </c>
      <c r="B71" s="136" t="str">
        <f>IF(C$5=Data!D$3,'Step 2 Inflow Hydrograph'!H115,IF(C$5=Data!D$4,'Step 2 Inflow Hydrograph'!I115,IF(C$5=Data!D$5,'Step 2 Inflow Hydrograph'!J115,'Step 2 Inflow Hydrograph'!K115)))</f>
        <v/>
      </c>
      <c r="C71" s="127"/>
      <c r="D71" s="6">
        <f t="shared" si="0"/>
        <v>0</v>
      </c>
      <c r="E71" s="6"/>
      <c r="F71" s="6">
        <f t="shared" si="4"/>
        <v>125.3987153851202</v>
      </c>
      <c r="G71" s="149">
        <f>INDEX('Step 4 Stage Discharge'!E$26:F$126,MATCH(F71,'Step 4 Stage Discharge'!E$26:E$126,1),2)+(INDEX('Step 4 Stage Discharge'!E$26:F$126,MATCH(F71,'Step 4 Stage Discharge'!E$26:E$126,1)+1,2)-INDEX('Step 4 Stage Discharge'!E$26:F$126,MATCH(F71,'Step 4 Stage Discharge'!E$26:E$126,1),2))*(F71-INDEX('Step 4 Stage Discharge'!E$26:F$126,MATCH(F71,'Step 4 Stage Discharge'!E$26:E$126,1),1))/(INDEX('Step 4 Stage Discharge'!E$26:F$126,MATCH(F71,'Step 4 Stage Discharge'!E$26:E$126,1)+1,1)-INDEX('Step 4 Stage Discharge'!E$26:F$126,MATCH(F71,'Step 4 Stage Discharge'!E$26:E$126,1),1))</f>
        <v>0.29505241843135233</v>
      </c>
      <c r="H71" s="149"/>
      <c r="I71" s="149">
        <f>INDEX('Step 4 Stage Discharge'!E$26:M$126,MATCH(F71,'Step 4 Stage Discharge'!E$26:E$126,1),9)+(INDEX('Step 4 Stage Discharge'!E$26:M$126,MATCH('Step 5 Routing'!F71,'Step 4 Stage Discharge'!E$26:E$126,1)+1,9)-INDEX('Step 4 Stage Discharge'!E$26:M$126,MATCH('Step 5 Routing'!F71,'Step 4 Stage Discharge'!E$26:E$126,1),9))*('Step 5 Routing'!F71-INDEX('Step 4 Stage Discharge'!E$26:M$126,MATCH('Step 5 Routing'!F71,'Step 4 Stage Discharge'!E$26:E$126,1),1))/(INDEX('Step 4 Stage Discharge'!E$26:M$126,MATCH('Step 5 Routing'!F71,'Step 4 Stage Discharge'!E$26:E$126,1)+1,1)-INDEX('Step 4 Stage Discharge'!E$26:M$126,MATCH('Step 5 Routing'!F71,'Step 4 Stage Discharge'!E$26:E$126,1),1))</f>
        <v>7.7514827768394759E-2</v>
      </c>
      <c r="J71" s="149"/>
      <c r="K71" s="6">
        <f t="shared" si="1"/>
        <v>4.6508896661036854</v>
      </c>
      <c r="L71" s="6">
        <f t="shared" si="2"/>
        <v>120.74782571901652</v>
      </c>
    </row>
    <row r="72" spans="1:12">
      <c r="A72">
        <f t="shared" si="3"/>
        <v>59</v>
      </c>
      <c r="B72" s="136" t="str">
        <f>IF(C$5=Data!D$3,'Step 2 Inflow Hydrograph'!H116,IF(C$5=Data!D$4,'Step 2 Inflow Hydrograph'!I116,IF(C$5=Data!D$5,'Step 2 Inflow Hydrograph'!J116,'Step 2 Inflow Hydrograph'!K116)))</f>
        <v/>
      </c>
      <c r="C72" s="127"/>
      <c r="D72" s="6">
        <f t="shared" si="0"/>
        <v>0</v>
      </c>
      <c r="E72" s="6"/>
      <c r="F72" s="6">
        <f t="shared" si="4"/>
        <v>120.74782571901652</v>
      </c>
      <c r="G72" s="149">
        <f>INDEX('Step 4 Stage Discharge'!E$26:F$126,MATCH(F72,'Step 4 Stage Discharge'!E$26:E$126,1),2)+(INDEX('Step 4 Stage Discharge'!E$26:F$126,MATCH(F72,'Step 4 Stage Discharge'!E$26:E$126,1)+1,2)-INDEX('Step 4 Stage Discharge'!E$26:F$126,MATCH(F72,'Step 4 Stage Discharge'!E$26:E$126,1),2))*(F72-INDEX('Step 4 Stage Discharge'!E$26:F$126,MATCH(F72,'Step 4 Stage Discharge'!E$26:E$126,1),1))/(INDEX('Step 4 Stage Discharge'!E$26:F$126,MATCH(F72,'Step 4 Stage Discharge'!E$26:E$126,1)+1,1)-INDEX('Step 4 Stage Discharge'!E$26:F$126,MATCH(F72,'Step 4 Stage Discharge'!E$26:E$126,1),1))</f>
        <v>0.28485846422719729</v>
      </c>
      <c r="H72" s="149"/>
      <c r="I72" s="149">
        <f>INDEX('Step 4 Stage Discharge'!E$26:M$126,MATCH(F72,'Step 4 Stage Discharge'!E$26:E$126,1),9)+(INDEX('Step 4 Stage Discharge'!E$26:M$126,MATCH('Step 5 Routing'!F72,'Step 4 Stage Discharge'!E$26:E$126,1)+1,9)-INDEX('Step 4 Stage Discharge'!E$26:M$126,MATCH('Step 5 Routing'!F72,'Step 4 Stage Discharge'!E$26:E$126,1),9))*('Step 5 Routing'!F72-INDEX('Step 4 Stage Discharge'!E$26:M$126,MATCH('Step 5 Routing'!F72,'Step 4 Stage Discharge'!E$26:E$126,1),1))/(INDEX('Step 4 Stage Discharge'!E$26:M$126,MATCH('Step 5 Routing'!F72,'Step 4 Stage Discharge'!E$26:E$126,1)+1,1)-INDEX('Step 4 Stage Discharge'!E$26:M$126,MATCH('Step 5 Routing'!F72,'Step 4 Stage Discharge'!E$26:E$126,1),1))</f>
        <v>7.5830569617998389E-2</v>
      </c>
      <c r="J72" s="149"/>
      <c r="K72" s="6">
        <f t="shared" si="1"/>
        <v>4.5498341770799033</v>
      </c>
      <c r="L72" s="6">
        <f t="shared" si="2"/>
        <v>116.19799154193662</v>
      </c>
    </row>
    <row r="73" spans="1:12">
      <c r="A73">
        <f t="shared" si="3"/>
        <v>60</v>
      </c>
      <c r="B73" s="136" t="str">
        <f>IF(C$5=Data!D$3,'Step 2 Inflow Hydrograph'!H117,IF(C$5=Data!D$4,'Step 2 Inflow Hydrograph'!I117,IF(C$5=Data!D$5,'Step 2 Inflow Hydrograph'!J117,'Step 2 Inflow Hydrograph'!K117)))</f>
        <v/>
      </c>
      <c r="C73" s="127"/>
      <c r="D73" s="6">
        <f t="shared" si="0"/>
        <v>0</v>
      </c>
      <c r="E73" s="6"/>
      <c r="F73" s="6">
        <f t="shared" si="4"/>
        <v>116.19799154193662</v>
      </c>
      <c r="G73" s="149">
        <f>INDEX('Step 4 Stage Discharge'!E$26:F$126,MATCH(F73,'Step 4 Stage Discharge'!E$26:E$126,1),2)+(INDEX('Step 4 Stage Discharge'!E$26:F$126,MATCH(F73,'Step 4 Stage Discharge'!E$26:E$126,1)+1,2)-INDEX('Step 4 Stage Discharge'!E$26:F$126,MATCH(F73,'Step 4 Stage Discharge'!E$26:E$126,1),2))*(F73-INDEX('Step 4 Stage Discharge'!E$26:F$126,MATCH(F73,'Step 4 Stage Discharge'!E$26:E$126,1),1))/(INDEX('Step 4 Stage Discharge'!E$26:F$126,MATCH(F73,'Step 4 Stage Discharge'!E$26:E$126,1)+1,1)-INDEX('Step 4 Stage Discharge'!E$26:F$126,MATCH(F73,'Step 4 Stage Discharge'!E$26:E$126,1),1))</f>
        <v>0.27488600636054838</v>
      </c>
      <c r="H73" s="149"/>
      <c r="I73" s="149">
        <f>INDEX('Step 4 Stage Discharge'!E$26:M$126,MATCH(F73,'Step 4 Stage Discharge'!E$26:E$126,1),9)+(INDEX('Step 4 Stage Discharge'!E$26:M$126,MATCH('Step 5 Routing'!F73,'Step 4 Stage Discharge'!E$26:E$126,1)+1,9)-INDEX('Step 4 Stage Discharge'!E$26:M$126,MATCH('Step 5 Routing'!F73,'Step 4 Stage Discharge'!E$26:E$126,1),9))*('Step 5 Routing'!F73-INDEX('Step 4 Stage Discharge'!E$26:M$126,MATCH('Step 5 Routing'!F73,'Step 4 Stage Discharge'!E$26:E$126,1),1))/(INDEX('Step 4 Stage Discharge'!E$26:M$126,MATCH('Step 5 Routing'!F73,'Step 4 Stage Discharge'!E$26:E$126,1)+1,1)-INDEX('Step 4 Stage Discharge'!E$26:M$126,MATCH('Step 5 Routing'!F73,'Step 4 Stage Discharge'!E$26:E$126,1),1))</f>
        <v>7.4182907375750756E-2</v>
      </c>
      <c r="J73" s="149"/>
      <c r="K73" s="6">
        <f t="shared" si="1"/>
        <v>4.4509744425450455</v>
      </c>
      <c r="L73" s="6">
        <f t="shared" si="2"/>
        <v>111.74701709939157</v>
      </c>
    </row>
    <row r="74" spans="1:12">
      <c r="A74">
        <f t="shared" si="3"/>
        <v>61</v>
      </c>
      <c r="B74" s="136" t="str">
        <f>IF(C$5=Data!D$3,'Step 2 Inflow Hydrograph'!H118,IF(C$5=Data!D$4,'Step 2 Inflow Hydrograph'!I118,IF(C$5=Data!D$5,'Step 2 Inflow Hydrograph'!J118,'Step 2 Inflow Hydrograph'!K118)))</f>
        <v/>
      </c>
      <c r="C74" s="127"/>
      <c r="D74" s="6">
        <f t="shared" si="0"/>
        <v>0</v>
      </c>
      <c r="E74" s="6"/>
      <c r="F74" s="6">
        <f t="shared" si="4"/>
        <v>111.74701709939157</v>
      </c>
      <c r="G74" s="149">
        <f>INDEX('Step 4 Stage Discharge'!E$26:F$126,MATCH(F74,'Step 4 Stage Discharge'!E$26:E$126,1),2)+(INDEX('Step 4 Stage Discharge'!E$26:F$126,MATCH(F74,'Step 4 Stage Discharge'!E$26:E$126,1)+1,2)-INDEX('Step 4 Stage Discharge'!E$26:F$126,MATCH(F74,'Step 4 Stage Discharge'!E$26:E$126,1),2))*(F74-INDEX('Step 4 Stage Discharge'!E$26:F$126,MATCH(F74,'Step 4 Stage Discharge'!E$26:E$126,1),1))/(INDEX('Step 4 Stage Discharge'!E$26:F$126,MATCH(F74,'Step 4 Stage Discharge'!E$26:E$126,1)+1,1)-INDEX('Step 4 Stage Discharge'!E$26:F$126,MATCH(F74,'Step 4 Stage Discharge'!E$26:E$126,1),1))</f>
        <v>0.26513023211334291</v>
      </c>
      <c r="H74" s="149"/>
      <c r="I74" s="149">
        <f>INDEX('Step 4 Stage Discharge'!E$26:M$126,MATCH(F74,'Step 4 Stage Discharge'!E$26:E$126,1),9)+(INDEX('Step 4 Stage Discharge'!E$26:M$126,MATCH('Step 5 Routing'!F74,'Step 4 Stage Discharge'!E$26:E$126,1)+1,9)-INDEX('Step 4 Stage Discharge'!E$26:M$126,MATCH('Step 5 Routing'!F74,'Step 4 Stage Discharge'!E$26:E$126,1),9))*('Step 5 Routing'!F74-INDEX('Step 4 Stage Discharge'!E$26:M$126,MATCH('Step 5 Routing'!F74,'Step 4 Stage Discharge'!E$26:E$126,1),1))/(INDEX('Step 4 Stage Discharge'!E$26:M$126,MATCH('Step 5 Routing'!F74,'Step 4 Stage Discharge'!E$26:E$126,1)+1,1)-INDEX('Step 4 Stage Discharge'!E$26:M$126,MATCH('Step 5 Routing'!F74,'Step 4 Stage Discharge'!E$26:E$126,1),1))</f>
        <v>7.2571045878218665E-2</v>
      </c>
      <c r="J74" s="149"/>
      <c r="K74" s="6">
        <f t="shared" si="1"/>
        <v>4.3542627526931197</v>
      </c>
      <c r="L74" s="6">
        <f t="shared" si="2"/>
        <v>107.39275434669845</v>
      </c>
    </row>
    <row r="75" spans="1:12">
      <c r="A75">
        <f t="shared" si="3"/>
        <v>62</v>
      </c>
      <c r="B75" s="136" t="str">
        <f>IF(C$5=Data!D$3,'Step 2 Inflow Hydrograph'!H119,IF(C$5=Data!D$4,'Step 2 Inflow Hydrograph'!I119,IF(C$5=Data!D$5,'Step 2 Inflow Hydrograph'!J119,'Step 2 Inflow Hydrograph'!K119)))</f>
        <v/>
      </c>
      <c r="C75" s="127"/>
      <c r="D75" s="6">
        <f t="shared" si="0"/>
        <v>0</v>
      </c>
      <c r="E75" s="6"/>
      <c r="F75" s="6">
        <f t="shared" si="4"/>
        <v>107.39275434669845</v>
      </c>
      <c r="G75" s="149">
        <f>INDEX('Step 4 Stage Discharge'!E$26:F$126,MATCH(F75,'Step 4 Stage Discharge'!E$26:E$126,1),2)+(INDEX('Step 4 Stage Discharge'!E$26:F$126,MATCH(F75,'Step 4 Stage Discharge'!E$26:E$126,1)+1,2)-INDEX('Step 4 Stage Discharge'!E$26:F$126,MATCH(F75,'Step 4 Stage Discharge'!E$26:E$126,1),2))*(F75-INDEX('Step 4 Stage Discharge'!E$26:F$126,MATCH(F75,'Step 4 Stage Discharge'!E$26:E$126,1),1))/(INDEX('Step 4 Stage Discharge'!E$26:F$126,MATCH(F75,'Step 4 Stage Discharge'!E$26:E$126,1)+1,1)-INDEX('Step 4 Stage Discharge'!E$26:F$126,MATCH(F75,'Step 4 Stage Discharge'!E$26:E$126,1),1))</f>
        <v>0.25558643333924785</v>
      </c>
      <c r="H75" s="149"/>
      <c r="I75" s="149">
        <f>INDEX('Step 4 Stage Discharge'!E$26:M$126,MATCH(F75,'Step 4 Stage Discharge'!E$26:E$126,1),9)+(INDEX('Step 4 Stage Discharge'!E$26:M$126,MATCH('Step 5 Routing'!F75,'Step 4 Stage Discharge'!E$26:E$126,1)+1,9)-INDEX('Step 4 Stage Discharge'!E$26:M$126,MATCH('Step 5 Routing'!F75,'Step 4 Stage Discharge'!E$26:E$126,1),9))*('Step 5 Routing'!F75-INDEX('Step 4 Stage Discharge'!E$26:M$126,MATCH('Step 5 Routing'!F75,'Step 4 Stage Discharge'!E$26:E$126,1),1))/(INDEX('Step 4 Stage Discharge'!E$26:M$126,MATCH('Step 5 Routing'!F75,'Step 4 Stage Discharge'!E$26:E$126,1)+1,1)-INDEX('Step 4 Stage Discharge'!E$26:M$126,MATCH('Step 5 Routing'!F75,'Step 4 Stage Discharge'!E$26:E$126,1),1))</f>
        <v>7.0994207239443857E-2</v>
      </c>
      <c r="J75" s="149"/>
      <c r="K75" s="6">
        <f t="shared" si="1"/>
        <v>4.2596524343666315</v>
      </c>
      <c r="L75" s="6">
        <f t="shared" si="2"/>
        <v>103.13310191233182</v>
      </c>
    </row>
    <row r="76" spans="1:12">
      <c r="A76">
        <f t="shared" si="3"/>
        <v>63</v>
      </c>
      <c r="B76" s="136" t="str">
        <f>IF(C$5=Data!D$3,'Step 2 Inflow Hydrograph'!H120,IF(C$5=Data!D$4,'Step 2 Inflow Hydrograph'!I120,IF(C$5=Data!D$5,'Step 2 Inflow Hydrograph'!J120,'Step 2 Inflow Hydrograph'!K120)))</f>
        <v/>
      </c>
      <c r="C76" s="127"/>
      <c r="D76" s="6">
        <f t="shared" si="0"/>
        <v>0</v>
      </c>
      <c r="E76" s="6"/>
      <c r="F76" s="6">
        <f t="shared" si="4"/>
        <v>103.13310191233182</v>
      </c>
      <c r="G76" s="149">
        <f>INDEX('Step 4 Stage Discharge'!E$26:F$126,MATCH(F76,'Step 4 Stage Discharge'!E$26:E$126,1),2)+(INDEX('Step 4 Stage Discharge'!E$26:F$126,MATCH(F76,'Step 4 Stage Discharge'!E$26:E$126,1)+1,2)-INDEX('Step 4 Stage Discharge'!E$26:F$126,MATCH(F76,'Step 4 Stage Discharge'!E$26:E$126,1),2))*(F76-INDEX('Step 4 Stage Discharge'!E$26:F$126,MATCH(F76,'Step 4 Stage Discharge'!E$26:E$126,1),1))/(INDEX('Step 4 Stage Discharge'!E$26:F$126,MATCH(F76,'Step 4 Stage Discharge'!E$26:E$126,1)+1,1)-INDEX('Step 4 Stage Discharge'!E$26:F$126,MATCH(F76,'Step 4 Stage Discharge'!E$26:E$126,1),1))</f>
        <v>0.24625000419150406</v>
      </c>
      <c r="H76" s="149"/>
      <c r="I76" s="149">
        <f>INDEX('Step 4 Stage Discharge'!E$26:M$126,MATCH(F76,'Step 4 Stage Discharge'!E$26:E$126,1),9)+(INDEX('Step 4 Stage Discharge'!E$26:M$126,MATCH('Step 5 Routing'!F76,'Step 4 Stage Discharge'!E$26:E$126,1)+1,9)-INDEX('Step 4 Stage Discharge'!E$26:M$126,MATCH('Step 5 Routing'!F76,'Step 4 Stage Discharge'!E$26:E$126,1),9))*('Step 5 Routing'!F76-INDEX('Step 4 Stage Discharge'!E$26:M$126,MATCH('Step 5 Routing'!F76,'Step 4 Stage Discharge'!E$26:E$126,1),1))/(INDEX('Step 4 Stage Discharge'!E$26:M$126,MATCH('Step 5 Routing'!F76,'Step 4 Stage Discharge'!E$26:E$126,1)+1,1)-INDEX('Step 4 Stage Discharge'!E$26:M$126,MATCH('Step 5 Routing'!F76,'Step 4 Stage Discharge'!E$26:E$126,1),1))</f>
        <v>6.9451630475534501E-2</v>
      </c>
      <c r="J76" s="149"/>
      <c r="K76" s="6">
        <f t="shared" si="1"/>
        <v>4.1670978285320697</v>
      </c>
      <c r="L76" s="6">
        <f t="shared" si="2"/>
        <v>98.96600408379976</v>
      </c>
    </row>
    <row r="77" spans="1:12">
      <c r="A77">
        <f t="shared" si="3"/>
        <v>64</v>
      </c>
      <c r="B77" s="136" t="str">
        <f>IF(C$5=Data!D$3,'Step 2 Inflow Hydrograph'!H121,IF(C$5=Data!D$4,'Step 2 Inflow Hydrograph'!I121,IF(C$5=Data!D$5,'Step 2 Inflow Hydrograph'!J121,'Step 2 Inflow Hydrograph'!K121)))</f>
        <v/>
      </c>
      <c r="C77" s="127"/>
      <c r="D77" s="6">
        <f t="shared" ref="D77:D140" si="5">IF(B77="",0,B77*D$8*60)</f>
        <v>0</v>
      </c>
      <c r="E77" s="6"/>
      <c r="F77" s="6">
        <f t="shared" si="4"/>
        <v>98.96600408379976</v>
      </c>
      <c r="G77" s="149">
        <f>INDEX('Step 4 Stage Discharge'!E$26:F$126,MATCH(F77,'Step 4 Stage Discharge'!E$26:E$126,1),2)+(INDEX('Step 4 Stage Discharge'!E$26:F$126,MATCH(F77,'Step 4 Stage Discharge'!E$26:E$126,1)+1,2)-INDEX('Step 4 Stage Discharge'!E$26:F$126,MATCH(F77,'Step 4 Stage Discharge'!E$26:E$126,1),2))*(F77-INDEX('Step 4 Stage Discharge'!E$26:F$126,MATCH(F77,'Step 4 Stage Discharge'!E$26:E$126,1),1))/(INDEX('Step 4 Stage Discharge'!E$26:F$126,MATCH(F77,'Step 4 Stage Discharge'!E$26:E$126,1)+1,1)-INDEX('Step 4 Stage Discharge'!E$26:F$126,MATCH(F77,'Step 4 Stage Discharge'!E$26:E$126,1),1))</f>
        <v>0.23711643890013973</v>
      </c>
      <c r="H77" s="149"/>
      <c r="I77" s="149">
        <f>INDEX('Step 4 Stage Discharge'!E$26:M$126,MATCH(F77,'Step 4 Stage Discharge'!E$26:E$126,1),9)+(INDEX('Step 4 Stage Discharge'!E$26:M$126,MATCH('Step 5 Routing'!F77,'Step 4 Stage Discharge'!E$26:E$126,1)+1,9)-INDEX('Step 4 Stage Discharge'!E$26:M$126,MATCH('Step 5 Routing'!F77,'Step 4 Stage Discharge'!E$26:E$126,1),9))*('Step 5 Routing'!F77-INDEX('Step 4 Stage Discharge'!E$26:M$126,MATCH('Step 5 Routing'!F77,'Step 4 Stage Discharge'!E$26:E$126,1),1))/(INDEX('Step 4 Stage Discharge'!E$26:M$126,MATCH('Step 5 Routing'!F77,'Step 4 Stage Discharge'!E$26:E$126,1)+1,1)-INDEX('Step 4 Stage Discharge'!E$26:M$126,MATCH('Step 5 Routing'!F77,'Step 4 Stage Discharge'!E$26:E$126,1),1))</f>
        <v>6.7942571137413518E-2</v>
      </c>
      <c r="J77" s="149"/>
      <c r="K77" s="6">
        <f t="shared" ref="K77:K140" si="6">IF(I77*60*D$8&gt;F77,F77,I77*60*D$8)</f>
        <v>4.076554268244811</v>
      </c>
      <c r="L77" s="6">
        <f t="shared" ref="L77:L140" si="7">IF(F77-K77&lt;0,0,F77-K77)</f>
        <v>94.889449815554954</v>
      </c>
    </row>
    <row r="78" spans="1:12">
      <c r="A78">
        <f t="shared" ref="A78:A141" si="8">+A77+D$8</f>
        <v>65</v>
      </c>
      <c r="B78" s="136" t="str">
        <f>IF(C$5=Data!D$3,'Step 2 Inflow Hydrograph'!H122,IF(C$5=Data!D$4,'Step 2 Inflow Hydrograph'!I122,IF(C$5=Data!D$5,'Step 2 Inflow Hydrograph'!J122,'Step 2 Inflow Hydrograph'!K122)))</f>
        <v/>
      </c>
      <c r="C78" s="127"/>
      <c r="D78" s="6">
        <f t="shared" si="5"/>
        <v>0</v>
      </c>
      <c r="E78" s="6"/>
      <c r="F78" s="6">
        <f t="shared" ref="F78:F141" si="9">+L77+D78</f>
        <v>94.889449815554954</v>
      </c>
      <c r="G78" s="149">
        <f>INDEX('Step 4 Stage Discharge'!E$26:F$126,MATCH(F78,'Step 4 Stage Discharge'!E$26:E$126,1),2)+(INDEX('Step 4 Stage Discharge'!E$26:F$126,MATCH(F78,'Step 4 Stage Discharge'!E$26:E$126,1)+1,2)-INDEX('Step 4 Stage Discharge'!E$26:F$126,MATCH(F78,'Step 4 Stage Discharge'!E$26:E$126,1),2))*(F78-INDEX('Step 4 Stage Discharge'!E$26:F$126,MATCH(F78,'Step 4 Stage Discharge'!E$26:E$126,1),1))/(INDEX('Step 4 Stage Discharge'!E$26:F$126,MATCH(F78,'Step 4 Stage Discharge'!E$26:E$126,1)+1,1)-INDEX('Step 4 Stage Discharge'!E$26:F$126,MATCH(F78,'Step 4 Stage Discharge'!E$26:E$126,1),1))</f>
        <v>0.22818132959748147</v>
      </c>
      <c r="H78" s="149"/>
      <c r="I78" s="149">
        <f>INDEX('Step 4 Stage Discharge'!E$26:M$126,MATCH(F78,'Step 4 Stage Discharge'!E$26:E$126,1),9)+(INDEX('Step 4 Stage Discharge'!E$26:M$126,MATCH('Step 5 Routing'!F78,'Step 4 Stage Discharge'!E$26:E$126,1)+1,9)-INDEX('Step 4 Stage Discharge'!E$26:M$126,MATCH('Step 5 Routing'!F78,'Step 4 Stage Discharge'!E$26:E$126,1),9))*('Step 5 Routing'!F78-INDEX('Step 4 Stage Discharge'!E$26:M$126,MATCH('Step 5 Routing'!F78,'Step 4 Stage Discharge'!E$26:E$126,1),1))/(INDEX('Step 4 Stage Discharge'!E$26:M$126,MATCH('Step 5 Routing'!F78,'Step 4 Stage Discharge'!E$26:E$126,1)+1,1)-INDEX('Step 4 Stage Discharge'!E$26:M$126,MATCH('Step 5 Routing'!F78,'Step 4 Stage Discharge'!E$26:E$126,1),1))</f>
        <v>6.6466300951546806E-2</v>
      </c>
      <c r="J78" s="149"/>
      <c r="K78" s="6">
        <f t="shared" si="6"/>
        <v>3.9879780570928083</v>
      </c>
      <c r="L78" s="6">
        <f t="shared" si="7"/>
        <v>90.901471758462151</v>
      </c>
    </row>
    <row r="79" spans="1:12">
      <c r="A79">
        <f t="shared" si="8"/>
        <v>66</v>
      </c>
      <c r="B79" s="136" t="str">
        <f>IF(C$5=Data!D$3,'Step 2 Inflow Hydrograph'!H123,IF(C$5=Data!D$4,'Step 2 Inflow Hydrograph'!I123,IF(C$5=Data!D$5,'Step 2 Inflow Hydrograph'!J123,'Step 2 Inflow Hydrograph'!K123)))</f>
        <v/>
      </c>
      <c r="C79" s="127"/>
      <c r="D79" s="6">
        <f t="shared" si="5"/>
        <v>0</v>
      </c>
      <c r="E79" s="6"/>
      <c r="F79" s="6">
        <f t="shared" si="9"/>
        <v>90.901471758462151</v>
      </c>
      <c r="G79" s="149">
        <f>INDEX('Step 4 Stage Discharge'!E$26:F$126,MATCH(F79,'Step 4 Stage Discharge'!E$26:E$126,1),2)+(INDEX('Step 4 Stage Discharge'!E$26:F$126,MATCH(F79,'Step 4 Stage Discharge'!E$26:E$126,1)+1,2)-INDEX('Step 4 Stage Discharge'!E$26:F$126,MATCH(F79,'Step 4 Stage Discharge'!E$26:E$126,1),2))*(F79-INDEX('Step 4 Stage Discharge'!E$26:F$126,MATCH(F79,'Step 4 Stage Discharge'!E$26:E$126,1),1))/(INDEX('Step 4 Stage Discharge'!E$26:F$126,MATCH(F79,'Step 4 Stage Discharge'!E$26:E$126,1)+1,1)-INDEX('Step 4 Stage Discharge'!E$26:F$126,MATCH(F79,'Step 4 Stage Discharge'!E$26:E$126,1),1))</f>
        <v>0.21944036419091301</v>
      </c>
      <c r="H79" s="149"/>
      <c r="I79" s="149">
        <f>INDEX('Step 4 Stage Discharge'!E$26:M$126,MATCH(F79,'Step 4 Stage Discharge'!E$26:E$126,1),9)+(INDEX('Step 4 Stage Discharge'!E$26:M$126,MATCH('Step 5 Routing'!F79,'Step 4 Stage Discharge'!E$26:E$126,1)+1,9)-INDEX('Step 4 Stage Discharge'!E$26:M$126,MATCH('Step 5 Routing'!F79,'Step 4 Stage Discharge'!E$26:E$126,1),9))*('Step 5 Routing'!F79-INDEX('Step 4 Stage Discharge'!E$26:M$126,MATCH('Step 5 Routing'!F79,'Step 4 Stage Discharge'!E$26:E$126,1),1))/(INDEX('Step 4 Stage Discharge'!E$26:M$126,MATCH('Step 5 Routing'!F79,'Step 4 Stage Discharge'!E$26:E$126,1)+1,1)-INDEX('Step 4 Stage Discharge'!E$26:M$126,MATCH('Step 5 Routing'!F79,'Step 4 Stage Discharge'!E$26:E$126,1),1))</f>
        <v>6.5022107468477697E-2</v>
      </c>
      <c r="J79" s="149"/>
      <c r="K79" s="6">
        <f t="shared" si="6"/>
        <v>3.9013264481086618</v>
      </c>
      <c r="L79" s="6">
        <f t="shared" si="7"/>
        <v>87.000145310353489</v>
      </c>
    </row>
    <row r="80" spans="1:12">
      <c r="A80">
        <f t="shared" si="8"/>
        <v>67</v>
      </c>
      <c r="B80" s="136" t="str">
        <f>IF(C$5=Data!D$3,'Step 2 Inflow Hydrograph'!H124,IF(C$5=Data!D$4,'Step 2 Inflow Hydrograph'!I124,IF(C$5=Data!D$5,'Step 2 Inflow Hydrograph'!J124,'Step 2 Inflow Hydrograph'!K124)))</f>
        <v/>
      </c>
      <c r="C80" s="127"/>
      <c r="D80" s="6">
        <f t="shared" si="5"/>
        <v>0</v>
      </c>
      <c r="E80" s="6"/>
      <c r="F80" s="6">
        <f t="shared" si="9"/>
        <v>87.000145310353489</v>
      </c>
      <c r="G80" s="149">
        <f>INDEX('Step 4 Stage Discharge'!E$26:F$126,MATCH(F80,'Step 4 Stage Discharge'!E$26:E$126,1),2)+(INDEX('Step 4 Stage Discharge'!E$26:F$126,MATCH(F80,'Step 4 Stage Discharge'!E$26:E$126,1)+1,2)-INDEX('Step 4 Stage Discharge'!E$26:F$126,MATCH(F80,'Step 4 Stage Discharge'!E$26:E$126,1),2))*(F80-INDEX('Step 4 Stage Discharge'!E$26:F$126,MATCH(F80,'Step 4 Stage Discharge'!E$26:E$126,1),1))/(INDEX('Step 4 Stage Discharge'!E$26:F$126,MATCH(F80,'Step 4 Stage Discharge'!E$26:E$126,1)+1,1)-INDEX('Step 4 Stage Discharge'!E$26:F$126,MATCH(F80,'Step 4 Stage Discharge'!E$26:E$126,1),1))</f>
        <v>0.21088932428185492</v>
      </c>
      <c r="H80" s="149"/>
      <c r="I80" s="149">
        <f>INDEX('Step 4 Stage Discharge'!E$26:M$126,MATCH(F80,'Step 4 Stage Discharge'!E$26:E$126,1),9)+(INDEX('Step 4 Stage Discharge'!E$26:M$126,MATCH('Step 5 Routing'!F80,'Step 4 Stage Discharge'!E$26:E$126,1)+1,9)-INDEX('Step 4 Stage Discharge'!E$26:M$126,MATCH('Step 5 Routing'!F80,'Step 4 Stage Discharge'!E$26:E$126,1),9))*('Step 5 Routing'!F80-INDEX('Step 4 Stage Discharge'!E$26:M$126,MATCH('Step 5 Routing'!F80,'Step 4 Stage Discharge'!E$26:E$126,1),1))/(INDEX('Step 4 Stage Discharge'!E$26:M$126,MATCH('Step 5 Routing'!F80,'Step 4 Stage Discharge'!E$26:E$126,1)+1,1)-INDEX('Step 4 Stage Discharge'!E$26:M$126,MATCH('Step 5 Routing'!F80,'Step 4 Stage Discharge'!E$26:E$126,1),1))</f>
        <v>6.3609293718998081E-2</v>
      </c>
      <c r="J80" s="149"/>
      <c r="K80" s="6">
        <f t="shared" si="6"/>
        <v>3.816557623139885</v>
      </c>
      <c r="L80" s="6">
        <f t="shared" si="7"/>
        <v>83.183587687213603</v>
      </c>
    </row>
    <row r="81" spans="1:12">
      <c r="A81">
        <f t="shared" si="8"/>
        <v>68</v>
      </c>
      <c r="B81" s="136" t="str">
        <f>IF(C$5=Data!D$3,'Step 2 Inflow Hydrograph'!H125,IF(C$5=Data!D$4,'Step 2 Inflow Hydrograph'!I125,IF(C$5=Data!D$5,'Step 2 Inflow Hydrograph'!J125,'Step 2 Inflow Hydrograph'!K125)))</f>
        <v/>
      </c>
      <c r="C81" s="127"/>
      <c r="D81" s="6">
        <f t="shared" si="5"/>
        <v>0</v>
      </c>
      <c r="E81" s="6"/>
      <c r="F81" s="6">
        <f t="shared" si="9"/>
        <v>83.183587687213603</v>
      </c>
      <c r="G81" s="149">
        <f>INDEX('Step 4 Stage Discharge'!E$26:F$126,MATCH(F81,'Step 4 Stage Discharge'!E$26:E$126,1),2)+(INDEX('Step 4 Stage Discharge'!E$26:F$126,MATCH(F81,'Step 4 Stage Discharge'!E$26:E$126,1)+1,2)-INDEX('Step 4 Stage Discharge'!E$26:F$126,MATCH(F81,'Step 4 Stage Discharge'!E$26:E$126,1),2))*(F81-INDEX('Step 4 Stage Discharge'!E$26:F$126,MATCH(F81,'Step 4 Stage Discharge'!E$26:E$126,1),1))/(INDEX('Step 4 Stage Discharge'!E$26:F$126,MATCH(F81,'Step 4 Stage Discharge'!E$26:E$126,1)+1,1)-INDEX('Step 4 Stage Discharge'!E$26:F$126,MATCH(F81,'Step 4 Stage Discharge'!E$26:E$126,1),1))</f>
        <v>0.20252408312996142</v>
      </c>
      <c r="H81" s="149"/>
      <c r="I81" s="149">
        <f>INDEX('Step 4 Stage Discharge'!E$26:M$126,MATCH(F81,'Step 4 Stage Discharge'!E$26:E$126,1),9)+(INDEX('Step 4 Stage Discharge'!E$26:M$126,MATCH('Step 5 Routing'!F81,'Step 4 Stage Discharge'!E$26:E$126,1)+1,9)-INDEX('Step 4 Stage Discharge'!E$26:M$126,MATCH('Step 5 Routing'!F81,'Step 4 Stage Discharge'!E$26:E$126,1),9))*('Step 5 Routing'!F81-INDEX('Step 4 Stage Discharge'!E$26:M$126,MATCH('Step 5 Routing'!F81,'Step 4 Stage Discharge'!E$26:E$126,1),1))/(INDEX('Step 4 Stage Discharge'!E$26:M$126,MATCH('Step 5 Routing'!F81,'Step 4 Stage Discharge'!E$26:E$126,1)+1,1)-INDEX('Step 4 Stage Discharge'!E$26:M$126,MATCH('Step 5 Routing'!F81,'Step 4 Stage Discharge'!E$26:E$126,1),1))</f>
        <v>6.2227177877790453E-2</v>
      </c>
      <c r="J81" s="149"/>
      <c r="K81" s="6">
        <f t="shared" si="6"/>
        <v>3.7336306726674273</v>
      </c>
      <c r="L81" s="6">
        <f t="shared" si="7"/>
        <v>79.449957014546172</v>
      </c>
    </row>
    <row r="82" spans="1:12">
      <c r="A82">
        <f t="shared" si="8"/>
        <v>69</v>
      </c>
      <c r="B82" s="136" t="str">
        <f>IF(C$5=Data!D$3,'Step 2 Inflow Hydrograph'!H126,IF(C$5=Data!D$4,'Step 2 Inflow Hydrograph'!I126,IF(C$5=Data!D$5,'Step 2 Inflow Hydrograph'!J126,'Step 2 Inflow Hydrograph'!K126)))</f>
        <v/>
      </c>
      <c r="C82" s="127"/>
      <c r="D82" s="6">
        <f t="shared" si="5"/>
        <v>0</v>
      </c>
      <c r="E82" s="6"/>
      <c r="F82" s="6">
        <f t="shared" si="9"/>
        <v>79.449957014546172</v>
      </c>
      <c r="G82" s="149">
        <f>INDEX('Step 4 Stage Discharge'!E$26:F$126,MATCH(F82,'Step 4 Stage Discharge'!E$26:E$126,1),2)+(INDEX('Step 4 Stage Discharge'!E$26:F$126,MATCH(F82,'Step 4 Stage Discharge'!E$26:E$126,1)+1,2)-INDEX('Step 4 Stage Discharge'!E$26:F$126,MATCH(F82,'Step 4 Stage Discharge'!E$26:E$126,1),2))*(F82-INDEX('Step 4 Stage Discharge'!E$26:F$126,MATCH(F82,'Step 4 Stage Discharge'!E$26:E$126,1),1))/(INDEX('Step 4 Stage Discharge'!E$26:F$126,MATCH(F82,'Step 4 Stage Discharge'!E$26:E$126,1)+1,1)-INDEX('Step 4 Stage Discharge'!E$26:F$126,MATCH(F82,'Step 4 Stage Discharge'!E$26:E$126,1),1))</f>
        <v>0.19392860471817663</v>
      </c>
      <c r="H82" s="149"/>
      <c r="I82" s="149">
        <f>INDEX('Step 4 Stage Discharge'!E$26:M$126,MATCH(F82,'Step 4 Stage Discharge'!E$26:E$126,1),9)+(INDEX('Step 4 Stage Discharge'!E$26:M$126,MATCH('Step 5 Routing'!F82,'Step 4 Stage Discharge'!E$26:E$126,1)+1,9)-INDEX('Step 4 Stage Discharge'!E$26:M$126,MATCH('Step 5 Routing'!F82,'Step 4 Stage Discharge'!E$26:E$126,1),9))*('Step 5 Routing'!F82-INDEX('Step 4 Stage Discharge'!E$26:M$126,MATCH('Step 5 Routing'!F82,'Step 4 Stage Discharge'!E$26:E$126,1),1))/(INDEX('Step 4 Stage Discharge'!E$26:M$126,MATCH('Step 5 Routing'!F82,'Step 4 Stage Discharge'!E$26:E$126,1)+1,1)-INDEX('Step 4 Stage Discharge'!E$26:M$126,MATCH('Step 5 Routing'!F82,'Step 4 Stage Discharge'!E$26:E$126,1),1))</f>
        <v>5.9238281143871072E-2</v>
      </c>
      <c r="J82" s="149"/>
      <c r="K82" s="6">
        <f t="shared" si="6"/>
        <v>3.5542968686322642</v>
      </c>
      <c r="L82" s="6">
        <f t="shared" si="7"/>
        <v>75.895660145913908</v>
      </c>
    </row>
    <row r="83" spans="1:12">
      <c r="A83">
        <f t="shared" si="8"/>
        <v>70</v>
      </c>
      <c r="B83" s="136" t="str">
        <f>IF(C$5=Data!D$3,'Step 2 Inflow Hydrograph'!H127,IF(C$5=Data!D$4,'Step 2 Inflow Hydrograph'!I127,IF(C$5=Data!D$5,'Step 2 Inflow Hydrograph'!J127,'Step 2 Inflow Hydrograph'!K127)))</f>
        <v/>
      </c>
      <c r="C83" s="127"/>
      <c r="D83" s="6">
        <f t="shared" si="5"/>
        <v>0</v>
      </c>
      <c r="E83" s="6"/>
      <c r="F83" s="6">
        <f t="shared" si="9"/>
        <v>75.895660145913908</v>
      </c>
      <c r="G83" s="149">
        <f>INDEX('Step 4 Stage Discharge'!E$26:F$126,MATCH(F83,'Step 4 Stage Discharge'!E$26:E$126,1),2)+(INDEX('Step 4 Stage Discharge'!E$26:F$126,MATCH(F83,'Step 4 Stage Discharge'!E$26:E$126,1)+1,2)-INDEX('Step 4 Stage Discharge'!E$26:F$126,MATCH(F83,'Step 4 Stage Discharge'!E$26:E$126,1),2))*(F83-INDEX('Step 4 Stage Discharge'!E$26:F$126,MATCH(F83,'Step 4 Stage Discharge'!E$26:E$126,1),1))/(INDEX('Step 4 Stage Discharge'!E$26:F$126,MATCH(F83,'Step 4 Stage Discharge'!E$26:E$126,1)+1,1)-INDEX('Step 4 Stage Discharge'!E$26:F$126,MATCH(F83,'Step 4 Stage Discharge'!E$26:E$126,1),1))</f>
        <v>0.18557105941006843</v>
      </c>
      <c r="H83" s="149"/>
      <c r="I83" s="149">
        <f>INDEX('Step 4 Stage Discharge'!E$26:M$126,MATCH(F83,'Step 4 Stage Discharge'!E$26:E$126,1),9)+(INDEX('Step 4 Stage Discharge'!E$26:M$126,MATCH('Step 5 Routing'!F83,'Step 4 Stage Discharge'!E$26:E$126,1)+1,9)-INDEX('Step 4 Stage Discharge'!E$26:M$126,MATCH('Step 5 Routing'!F83,'Step 4 Stage Discharge'!E$26:E$126,1),9))*('Step 5 Routing'!F83-INDEX('Step 4 Stage Discharge'!E$26:M$126,MATCH('Step 5 Routing'!F83,'Step 4 Stage Discharge'!E$26:E$126,1),1))/(INDEX('Step 4 Stage Discharge'!E$26:M$126,MATCH('Step 5 Routing'!F83,'Step 4 Stage Discharge'!E$26:E$126,1)+1,1)-INDEX('Step 4 Stage Discharge'!E$26:M$126,MATCH('Step 5 Routing'!F83,'Step 4 Stage Discharge'!E$26:E$126,1),1))</f>
        <v>5.5697995424723923E-2</v>
      </c>
      <c r="J83" s="149"/>
      <c r="K83" s="6">
        <f t="shared" si="6"/>
        <v>3.3418797254834356</v>
      </c>
      <c r="L83" s="6">
        <f t="shared" si="7"/>
        <v>72.553780420430471</v>
      </c>
    </row>
    <row r="84" spans="1:12">
      <c r="A84">
        <f t="shared" si="8"/>
        <v>71</v>
      </c>
      <c r="B84" s="136" t="str">
        <f>IF(C$5=Data!D$3,'Step 2 Inflow Hydrograph'!H128,IF(C$5=Data!D$4,'Step 2 Inflow Hydrograph'!I128,IF(C$5=Data!D$5,'Step 2 Inflow Hydrograph'!J128,'Step 2 Inflow Hydrograph'!K128)))</f>
        <v/>
      </c>
      <c r="C84" s="127"/>
      <c r="D84" s="6">
        <f t="shared" si="5"/>
        <v>0</v>
      </c>
      <c r="E84" s="6"/>
      <c r="F84" s="6">
        <f t="shared" si="9"/>
        <v>72.553780420430471</v>
      </c>
      <c r="G84" s="149">
        <f>INDEX('Step 4 Stage Discharge'!E$26:F$126,MATCH(F84,'Step 4 Stage Discharge'!E$26:E$126,1),2)+(INDEX('Step 4 Stage Discharge'!E$26:F$126,MATCH(F84,'Step 4 Stage Discharge'!E$26:E$126,1)+1,2)-INDEX('Step 4 Stage Discharge'!E$26:F$126,MATCH(F84,'Step 4 Stage Discharge'!E$26:E$126,1),2))*(F84-INDEX('Step 4 Stage Discharge'!E$26:F$126,MATCH(F84,'Step 4 Stage Discharge'!E$26:E$126,1),1))/(INDEX('Step 4 Stage Discharge'!E$26:F$126,MATCH(F84,'Step 4 Stage Discharge'!E$26:E$126,1)+1,1)-INDEX('Step 4 Stage Discharge'!E$26:F$126,MATCH(F84,'Step 4 Stage Discharge'!E$26:E$126,1),1))</f>
        <v>0.17771299007813784</v>
      </c>
      <c r="H84" s="149"/>
      <c r="I84" s="149">
        <f>INDEX('Step 4 Stage Discharge'!E$26:M$126,MATCH(F84,'Step 4 Stage Discharge'!E$26:E$126,1),9)+(INDEX('Step 4 Stage Discharge'!E$26:M$126,MATCH('Step 5 Routing'!F84,'Step 4 Stage Discharge'!E$26:E$126,1)+1,9)-INDEX('Step 4 Stage Discharge'!E$26:M$126,MATCH('Step 5 Routing'!F84,'Step 4 Stage Discharge'!E$26:E$126,1),9))*('Step 5 Routing'!F84-INDEX('Step 4 Stage Discharge'!E$26:M$126,MATCH('Step 5 Routing'!F84,'Step 4 Stage Discharge'!E$26:E$126,1),1))/(INDEX('Step 4 Stage Discharge'!E$26:M$126,MATCH('Step 5 Routing'!F84,'Step 4 Stage Discharge'!E$26:E$126,1)+1,1)-INDEX('Step 4 Stage Discharge'!E$26:M$126,MATCH('Step 5 Routing'!F84,'Step 4 Stage Discharge'!E$26:E$126,1),1))</f>
        <v>5.2369289493699872E-2</v>
      </c>
      <c r="J84" s="149"/>
      <c r="K84" s="6">
        <f t="shared" si="6"/>
        <v>3.1421573696219922</v>
      </c>
      <c r="L84" s="6">
        <f t="shared" si="7"/>
        <v>69.411623050808473</v>
      </c>
    </row>
    <row r="85" spans="1:12">
      <c r="A85">
        <f t="shared" si="8"/>
        <v>72</v>
      </c>
      <c r="B85" s="136" t="str">
        <f>IF(C$5=Data!D$3,'Step 2 Inflow Hydrograph'!H129,IF(C$5=Data!D$4,'Step 2 Inflow Hydrograph'!I129,IF(C$5=Data!D$5,'Step 2 Inflow Hydrograph'!J129,'Step 2 Inflow Hydrograph'!K129)))</f>
        <v/>
      </c>
      <c r="C85" s="127"/>
      <c r="D85" s="6">
        <f t="shared" si="5"/>
        <v>0</v>
      </c>
      <c r="E85" s="6"/>
      <c r="F85" s="6">
        <f t="shared" si="9"/>
        <v>69.411623050808473</v>
      </c>
      <c r="G85" s="149">
        <f>INDEX('Step 4 Stage Discharge'!E$26:F$126,MATCH(F85,'Step 4 Stage Discharge'!E$26:E$126,1),2)+(INDEX('Step 4 Stage Discharge'!E$26:F$126,MATCH(F85,'Step 4 Stage Discharge'!E$26:E$126,1)+1,2)-INDEX('Step 4 Stage Discharge'!E$26:F$126,MATCH(F85,'Step 4 Stage Discharge'!E$26:E$126,1),2))*(F85-INDEX('Step 4 Stage Discharge'!E$26:F$126,MATCH(F85,'Step 4 Stage Discharge'!E$26:E$126,1),1))/(INDEX('Step 4 Stage Discharge'!E$26:F$126,MATCH(F85,'Step 4 Stage Discharge'!E$26:E$126,1)+1,1)-INDEX('Step 4 Stage Discharge'!E$26:F$126,MATCH(F85,'Step 4 Stage Discharge'!E$26:E$126,1),1))</f>
        <v>0.17032454630080998</v>
      </c>
      <c r="H85" s="149"/>
      <c r="I85" s="149">
        <f>INDEX('Step 4 Stage Discharge'!E$26:M$126,MATCH(F85,'Step 4 Stage Discharge'!E$26:E$126,1),9)+(INDEX('Step 4 Stage Discharge'!E$26:M$126,MATCH('Step 5 Routing'!F85,'Step 4 Stage Discharge'!E$26:E$126,1)+1,9)-INDEX('Step 4 Stage Discharge'!E$26:M$126,MATCH('Step 5 Routing'!F85,'Step 4 Stage Discharge'!E$26:E$126,1),9))*('Step 5 Routing'!F85-INDEX('Step 4 Stage Discharge'!E$26:M$126,MATCH('Step 5 Routing'!F85,'Step 4 Stage Discharge'!E$26:E$126,1),1))/(INDEX('Step 4 Stage Discharge'!E$26:M$126,MATCH('Step 5 Routing'!F85,'Step 4 Stage Discharge'!E$26:E$126,1)+1,1)-INDEX('Step 4 Stage Discharge'!E$26:M$126,MATCH('Step 5 Routing'!F85,'Step 4 Stage Discharge'!E$26:E$126,1),1))</f>
        <v>4.9239518606760291E-2</v>
      </c>
      <c r="J85" s="149"/>
      <c r="K85" s="6">
        <f t="shared" si="6"/>
        <v>2.9543711164056177</v>
      </c>
      <c r="L85" s="6">
        <f t="shared" si="7"/>
        <v>66.457251934402848</v>
      </c>
    </row>
    <row r="86" spans="1:12">
      <c r="A86">
        <f t="shared" si="8"/>
        <v>73</v>
      </c>
      <c r="B86" s="136" t="str">
        <f>IF(C$5=Data!D$3,'Step 2 Inflow Hydrograph'!H130,IF(C$5=Data!D$4,'Step 2 Inflow Hydrograph'!I130,IF(C$5=Data!D$5,'Step 2 Inflow Hydrograph'!J130,'Step 2 Inflow Hydrograph'!K130)))</f>
        <v/>
      </c>
      <c r="C86" s="127"/>
      <c r="D86" s="6">
        <f t="shared" si="5"/>
        <v>0</v>
      </c>
      <c r="E86" s="6"/>
      <c r="F86" s="6">
        <f t="shared" si="9"/>
        <v>66.457251934402848</v>
      </c>
      <c r="G86" s="149">
        <f>INDEX('Step 4 Stage Discharge'!E$26:F$126,MATCH(F86,'Step 4 Stage Discharge'!E$26:E$126,1),2)+(INDEX('Step 4 Stage Discharge'!E$26:F$126,MATCH(F86,'Step 4 Stage Discharge'!E$26:E$126,1)+1,2)-INDEX('Step 4 Stage Discharge'!E$26:F$126,MATCH(F86,'Step 4 Stage Discharge'!E$26:E$126,1),2))*(F86-INDEX('Step 4 Stage Discharge'!E$26:F$126,MATCH(F86,'Step 4 Stage Discharge'!E$26:E$126,1),1))/(INDEX('Step 4 Stage Discharge'!E$26:F$126,MATCH(F86,'Step 4 Stage Discharge'!E$26:E$126,1)+1,1)-INDEX('Step 4 Stage Discharge'!E$26:F$126,MATCH(F86,'Step 4 Stage Discharge'!E$26:E$126,1),1))</f>
        <v>0.16337766162152662</v>
      </c>
      <c r="H86" s="149"/>
      <c r="I86" s="149">
        <f>INDEX('Step 4 Stage Discharge'!E$26:M$126,MATCH(F86,'Step 4 Stage Discharge'!E$26:E$126,1),9)+(INDEX('Step 4 Stage Discharge'!E$26:M$126,MATCH('Step 5 Routing'!F86,'Step 4 Stage Discharge'!E$26:E$126,1)+1,9)-INDEX('Step 4 Stage Discharge'!E$26:M$126,MATCH('Step 5 Routing'!F86,'Step 4 Stage Discharge'!E$26:E$126,1),9))*('Step 5 Routing'!F86-INDEX('Step 4 Stage Discharge'!E$26:M$126,MATCH('Step 5 Routing'!F86,'Step 4 Stage Discharge'!E$26:E$126,1),1))/(INDEX('Step 4 Stage Discharge'!E$26:M$126,MATCH('Step 5 Routing'!F86,'Step 4 Stage Discharge'!E$26:E$126,1)+1,1)-INDEX('Step 4 Stage Discharge'!E$26:M$126,MATCH('Step 5 Routing'!F86,'Step 4 Stage Discharge'!E$26:E$126,1),1))</f>
        <v>4.6296793713750284E-2</v>
      </c>
      <c r="J86" s="149"/>
      <c r="K86" s="6">
        <f t="shared" si="6"/>
        <v>2.777807622825017</v>
      </c>
      <c r="L86" s="6">
        <f t="shared" si="7"/>
        <v>63.679444311577832</v>
      </c>
    </row>
    <row r="87" spans="1:12">
      <c r="A87">
        <f t="shared" si="8"/>
        <v>74</v>
      </c>
      <c r="B87" s="136" t="str">
        <f>IF(C$5=Data!D$3,'Step 2 Inflow Hydrograph'!H131,IF(C$5=Data!D$4,'Step 2 Inflow Hydrograph'!I131,IF(C$5=Data!D$5,'Step 2 Inflow Hydrograph'!J131,'Step 2 Inflow Hydrograph'!K131)))</f>
        <v/>
      </c>
      <c r="C87" s="127"/>
      <c r="D87" s="6">
        <f t="shared" si="5"/>
        <v>0</v>
      </c>
      <c r="E87" s="6"/>
      <c r="F87" s="6">
        <f t="shared" si="9"/>
        <v>63.679444311577832</v>
      </c>
      <c r="G87" s="149">
        <f>INDEX('Step 4 Stage Discharge'!E$26:F$126,MATCH(F87,'Step 4 Stage Discharge'!E$26:E$126,1),2)+(INDEX('Step 4 Stage Discharge'!E$26:F$126,MATCH(F87,'Step 4 Stage Discharge'!E$26:E$126,1)+1,2)-INDEX('Step 4 Stage Discharge'!E$26:F$126,MATCH(F87,'Step 4 Stage Discharge'!E$26:E$126,1),2))*(F87-INDEX('Step 4 Stage Discharge'!E$26:F$126,MATCH(F87,'Step 4 Stage Discharge'!E$26:E$126,1),1))/(INDEX('Step 4 Stage Discharge'!E$26:F$126,MATCH(F87,'Step 4 Stage Discharge'!E$26:E$126,1)+1,1)-INDEX('Step 4 Stage Discharge'!E$26:F$126,MATCH(F87,'Step 4 Stage Discharge'!E$26:E$126,1),1))</f>
        <v>0.15684594693279211</v>
      </c>
      <c r="H87" s="149"/>
      <c r="I87" s="149">
        <f>INDEX('Step 4 Stage Discharge'!E$26:M$126,MATCH(F87,'Step 4 Stage Discharge'!E$26:E$126,1),9)+(INDEX('Step 4 Stage Discharge'!E$26:M$126,MATCH('Step 5 Routing'!F87,'Step 4 Stage Discharge'!E$26:E$126,1)+1,9)-INDEX('Step 4 Stage Discharge'!E$26:M$126,MATCH('Step 5 Routing'!F87,'Step 4 Stage Discharge'!E$26:E$126,1),9))*('Step 5 Routing'!F87-INDEX('Step 4 Stage Discharge'!E$26:M$126,MATCH('Step 5 Routing'!F87,'Step 4 Stage Discharge'!E$26:E$126,1),1))/(INDEX('Step 4 Stage Discharge'!E$26:M$126,MATCH('Step 5 Routing'!F87,'Step 4 Stage Discharge'!E$26:E$126,1)+1,1)-INDEX('Step 4 Stage Discharge'!E$26:M$126,MATCH('Step 5 Routing'!F87,'Step 4 Stage Discharge'!E$26:E$126,1),1))</f>
        <v>4.3529936295503779E-2</v>
      </c>
      <c r="J87" s="149"/>
      <c r="K87" s="6">
        <f t="shared" si="6"/>
        <v>2.611796177730227</v>
      </c>
      <c r="L87" s="6">
        <f t="shared" si="7"/>
        <v>61.067648133847605</v>
      </c>
    </row>
    <row r="88" spans="1:12">
      <c r="A88">
        <f t="shared" si="8"/>
        <v>75</v>
      </c>
      <c r="B88" s="136" t="str">
        <f>IF(C$5=Data!D$3,'Step 2 Inflow Hydrograph'!H132,IF(C$5=Data!D$4,'Step 2 Inflow Hydrograph'!I132,IF(C$5=Data!D$5,'Step 2 Inflow Hydrograph'!J132,'Step 2 Inflow Hydrograph'!K132)))</f>
        <v/>
      </c>
      <c r="C88" s="127"/>
      <c r="D88" s="6">
        <f t="shared" si="5"/>
        <v>0</v>
      </c>
      <c r="E88" s="6"/>
      <c r="F88" s="6">
        <f t="shared" si="9"/>
        <v>61.067648133847605</v>
      </c>
      <c r="G88" s="149">
        <f>INDEX('Step 4 Stage Discharge'!E$26:F$126,MATCH(F88,'Step 4 Stage Discharge'!E$26:E$126,1),2)+(INDEX('Step 4 Stage Discharge'!E$26:F$126,MATCH(F88,'Step 4 Stage Discharge'!E$26:E$126,1)+1,2)-INDEX('Step 4 Stage Discharge'!E$26:F$126,MATCH(F88,'Step 4 Stage Discharge'!E$26:E$126,1),2))*(F88-INDEX('Step 4 Stage Discharge'!E$26:F$126,MATCH(F88,'Step 4 Stage Discharge'!E$26:E$126,1),1))/(INDEX('Step 4 Stage Discharge'!E$26:F$126,MATCH(F88,'Step 4 Stage Discharge'!E$26:E$126,1)+1,1)-INDEX('Step 4 Stage Discharge'!E$26:F$126,MATCH(F88,'Step 4 Stage Discharge'!E$26:E$126,1),1))</f>
        <v>0.15070459023195917</v>
      </c>
      <c r="H88" s="149"/>
      <c r="I88" s="149">
        <f>INDEX('Step 4 Stage Discharge'!E$26:M$126,MATCH(F88,'Step 4 Stage Discharge'!E$26:E$126,1),9)+(INDEX('Step 4 Stage Discharge'!E$26:M$126,MATCH('Step 5 Routing'!F88,'Step 4 Stage Discharge'!E$26:E$126,1)+1,9)-INDEX('Step 4 Stage Discharge'!E$26:M$126,MATCH('Step 5 Routing'!F88,'Step 4 Stage Discharge'!E$26:E$126,1),9))*('Step 5 Routing'!F88-INDEX('Step 4 Stage Discharge'!E$26:M$126,MATCH('Step 5 Routing'!F88,'Step 4 Stage Discharge'!E$26:E$126,1),1))/(INDEX('Step 4 Stage Discharge'!E$26:M$126,MATCH('Step 5 Routing'!F88,'Step 4 Stage Discharge'!E$26:E$126,1)+1,1)-INDEX('Step 4 Stage Discharge'!E$26:M$126,MATCH('Step 5 Routing'!F88,'Step 4 Stage Discharge'!E$26:E$126,1),1))</f>
        <v>4.0928435900040291E-2</v>
      </c>
      <c r="J88" s="149"/>
      <c r="K88" s="6">
        <f t="shared" si="6"/>
        <v>2.4557061540024177</v>
      </c>
      <c r="L88" s="6">
        <f t="shared" si="7"/>
        <v>58.611941979845184</v>
      </c>
    </row>
    <row r="89" spans="1:12">
      <c r="A89">
        <f t="shared" si="8"/>
        <v>76</v>
      </c>
      <c r="B89" s="136" t="str">
        <f>IF(C$5=Data!D$3,'Step 2 Inflow Hydrograph'!H133,IF(C$5=Data!D$4,'Step 2 Inflow Hydrograph'!I133,IF(C$5=Data!D$5,'Step 2 Inflow Hydrograph'!J133,'Step 2 Inflow Hydrograph'!K133)))</f>
        <v/>
      </c>
      <c r="C89" s="127"/>
      <c r="D89" s="6">
        <f t="shared" si="5"/>
        <v>0</v>
      </c>
      <c r="E89" s="6"/>
      <c r="F89" s="6">
        <f t="shared" si="9"/>
        <v>58.611941979845184</v>
      </c>
      <c r="G89" s="149">
        <f>INDEX('Step 4 Stage Discharge'!E$26:F$126,MATCH(F89,'Step 4 Stage Discharge'!E$26:E$126,1),2)+(INDEX('Step 4 Stage Discharge'!E$26:F$126,MATCH(F89,'Step 4 Stage Discharge'!E$26:E$126,1)+1,2)-INDEX('Step 4 Stage Discharge'!E$26:F$126,MATCH(F89,'Step 4 Stage Discharge'!E$26:E$126,1),2))*(F89-INDEX('Step 4 Stage Discharge'!E$26:F$126,MATCH(F89,'Step 4 Stage Discharge'!E$26:E$126,1),1))/(INDEX('Step 4 Stage Discharge'!E$26:F$126,MATCH(F89,'Step 4 Stage Discharge'!E$26:E$126,1)+1,1)-INDEX('Step 4 Stage Discharge'!E$26:F$126,MATCH(F89,'Step 4 Stage Discharge'!E$26:E$126,1),1))</f>
        <v>0.144930262367958</v>
      </c>
      <c r="H89" s="149"/>
      <c r="I89" s="149">
        <f>INDEX('Step 4 Stage Discharge'!E$26:M$126,MATCH(F89,'Step 4 Stage Discharge'!E$26:E$126,1),9)+(INDEX('Step 4 Stage Discharge'!E$26:M$126,MATCH('Step 5 Routing'!F89,'Step 4 Stage Discharge'!E$26:E$126,1)+1,9)-INDEX('Step 4 Stage Discharge'!E$26:M$126,MATCH('Step 5 Routing'!F89,'Step 4 Stage Discharge'!E$26:E$126,1),9))*('Step 5 Routing'!F89-INDEX('Step 4 Stage Discharge'!E$26:M$126,MATCH('Step 5 Routing'!F89,'Step 4 Stage Discharge'!E$26:E$126,1),1))/(INDEX('Step 4 Stage Discharge'!E$26:M$126,MATCH('Step 5 Routing'!F89,'Step 4 Stage Discharge'!E$26:E$126,1)+1,1)-INDEX('Step 4 Stage Discharge'!E$26:M$126,MATCH('Step 5 Routing'!F89,'Step 4 Stage Discharge'!E$26:E$126,1),1))</f>
        <v>3.8482410216546373E-2</v>
      </c>
      <c r="J89" s="149"/>
      <c r="K89" s="6">
        <f t="shared" si="6"/>
        <v>2.3089446129927822</v>
      </c>
      <c r="L89" s="6">
        <f t="shared" si="7"/>
        <v>56.302997366852402</v>
      </c>
    </row>
    <row r="90" spans="1:12">
      <c r="A90">
        <f t="shared" si="8"/>
        <v>77</v>
      </c>
      <c r="B90" s="136" t="str">
        <f>IF(C$5=Data!D$3,'Step 2 Inflow Hydrograph'!H134,IF(C$5=Data!D$4,'Step 2 Inflow Hydrograph'!I134,IF(C$5=Data!D$5,'Step 2 Inflow Hydrograph'!J134,'Step 2 Inflow Hydrograph'!K134)))</f>
        <v/>
      </c>
      <c r="C90" s="127"/>
      <c r="D90" s="6">
        <f t="shared" si="5"/>
        <v>0</v>
      </c>
      <c r="E90" s="6"/>
      <c r="F90" s="6">
        <f t="shared" si="9"/>
        <v>56.302997366852402</v>
      </c>
      <c r="G90" s="149">
        <f>INDEX('Step 4 Stage Discharge'!E$26:F$126,MATCH(F90,'Step 4 Stage Discharge'!E$26:E$126,1),2)+(INDEX('Step 4 Stage Discharge'!E$26:F$126,MATCH(F90,'Step 4 Stage Discharge'!E$26:E$126,1)+1,2)-INDEX('Step 4 Stage Discharge'!E$26:F$126,MATCH(F90,'Step 4 Stage Discharge'!E$26:E$126,1),2))*(F90-INDEX('Step 4 Stage Discharge'!E$26:F$126,MATCH(F90,'Step 4 Stage Discharge'!E$26:E$126,1),1))/(INDEX('Step 4 Stage Discharge'!E$26:F$126,MATCH(F90,'Step 4 Stage Discharge'!E$26:E$126,1)+1,1)-INDEX('Step 4 Stage Discharge'!E$26:F$126,MATCH(F90,'Step 4 Stage Discharge'!E$26:E$126,1),1))</f>
        <v>0.13950102842092832</v>
      </c>
      <c r="H90" s="149"/>
      <c r="I90" s="149">
        <f>INDEX('Step 4 Stage Discharge'!E$26:M$126,MATCH(F90,'Step 4 Stage Discharge'!E$26:E$126,1),9)+(INDEX('Step 4 Stage Discharge'!E$26:M$126,MATCH('Step 5 Routing'!F90,'Step 4 Stage Discharge'!E$26:E$126,1)+1,9)-INDEX('Step 4 Stage Discharge'!E$26:M$126,MATCH('Step 5 Routing'!F90,'Step 4 Stage Discharge'!E$26:E$126,1),9))*('Step 5 Routing'!F90-INDEX('Step 4 Stage Discharge'!E$26:M$126,MATCH('Step 5 Routing'!F90,'Step 4 Stage Discharge'!E$26:E$126,1),1))/(INDEX('Step 4 Stage Discharge'!E$26:M$126,MATCH('Step 5 Routing'!F90,'Step 4 Stage Discharge'!E$26:E$126,1)+1,1)-INDEX('Step 4 Stage Discharge'!E$26:M$126,MATCH('Step 5 Routing'!F90,'Step 4 Stage Discharge'!E$26:E$126,1),1))</f>
        <v>3.6182567535474636E-2</v>
      </c>
      <c r="J90" s="149"/>
      <c r="K90" s="6">
        <f t="shared" si="6"/>
        <v>2.170954052128478</v>
      </c>
      <c r="L90" s="6">
        <f t="shared" si="7"/>
        <v>54.132043314723923</v>
      </c>
    </row>
    <row r="91" spans="1:12">
      <c r="A91">
        <f t="shared" si="8"/>
        <v>78</v>
      </c>
      <c r="B91" s="136" t="str">
        <f>IF(C$5=Data!D$3,'Step 2 Inflow Hydrograph'!H135,IF(C$5=Data!D$4,'Step 2 Inflow Hydrograph'!I135,IF(C$5=Data!D$5,'Step 2 Inflow Hydrograph'!J135,'Step 2 Inflow Hydrograph'!K135)))</f>
        <v/>
      </c>
      <c r="C91" s="127"/>
      <c r="D91" s="6">
        <f t="shared" si="5"/>
        <v>0</v>
      </c>
      <c r="E91" s="6"/>
      <c r="F91" s="6">
        <f t="shared" si="9"/>
        <v>54.132043314723923</v>
      </c>
      <c r="G91" s="149">
        <f>INDEX('Step 4 Stage Discharge'!E$26:F$126,MATCH(F91,'Step 4 Stage Discharge'!E$26:E$126,1),2)+(INDEX('Step 4 Stage Discharge'!E$26:F$126,MATCH(F91,'Step 4 Stage Discharge'!E$26:E$126,1)+1,2)-INDEX('Step 4 Stage Discharge'!E$26:F$126,MATCH(F91,'Step 4 Stage Discharge'!E$26:E$126,1),2))*(F91-INDEX('Step 4 Stage Discharge'!E$26:F$126,MATCH(F91,'Step 4 Stage Discharge'!E$26:E$126,1),1))/(INDEX('Step 4 Stage Discharge'!E$26:F$126,MATCH(F91,'Step 4 Stage Discharge'!E$26:E$126,1)+1,1)-INDEX('Step 4 Stage Discharge'!E$26:F$126,MATCH(F91,'Step 4 Stage Discharge'!E$26:E$126,1),1))</f>
        <v>0.13439626437811306</v>
      </c>
      <c r="H91" s="149"/>
      <c r="I91" s="149">
        <f>INDEX('Step 4 Stage Discharge'!E$26:M$126,MATCH(F91,'Step 4 Stage Discharge'!E$26:E$126,1),9)+(INDEX('Step 4 Stage Discharge'!E$26:M$126,MATCH('Step 5 Routing'!F91,'Step 4 Stage Discharge'!E$26:E$126,1)+1,9)-INDEX('Step 4 Stage Discharge'!E$26:M$126,MATCH('Step 5 Routing'!F91,'Step 4 Stage Discharge'!E$26:E$126,1),9))*('Step 5 Routing'!F91-INDEX('Step 4 Stage Discharge'!E$26:M$126,MATCH('Step 5 Routing'!F91,'Step 4 Stage Discharge'!E$26:E$126,1),1))/(INDEX('Step 4 Stage Discharge'!E$26:M$126,MATCH('Step 5 Routing'!F91,'Step 4 Stage Discharge'!E$26:E$126,1)+1,1)-INDEX('Step 4 Stage Discharge'!E$26:M$126,MATCH('Step 5 Routing'!F91,'Step 4 Stage Discharge'!E$26:E$126,1),1))</f>
        <v>3.4020171452157966E-2</v>
      </c>
      <c r="J91" s="149"/>
      <c r="K91" s="6">
        <f t="shared" si="6"/>
        <v>2.0412102871294779</v>
      </c>
      <c r="L91" s="6">
        <f t="shared" si="7"/>
        <v>52.090833027594442</v>
      </c>
    </row>
    <row r="92" spans="1:12">
      <c r="A92">
        <f t="shared" si="8"/>
        <v>79</v>
      </c>
      <c r="B92" s="136" t="str">
        <f>IF(C$5=Data!D$3,'Step 2 Inflow Hydrograph'!H136,IF(C$5=Data!D$4,'Step 2 Inflow Hydrograph'!I136,IF(C$5=Data!D$5,'Step 2 Inflow Hydrograph'!J136,'Step 2 Inflow Hydrograph'!K136)))</f>
        <v/>
      </c>
      <c r="C92" s="127"/>
      <c r="D92" s="6">
        <f t="shared" si="5"/>
        <v>0</v>
      </c>
      <c r="E92" s="6"/>
      <c r="F92" s="6">
        <f t="shared" si="9"/>
        <v>52.090833027594442</v>
      </c>
      <c r="G92" s="149">
        <f>INDEX('Step 4 Stage Discharge'!E$26:F$126,MATCH(F92,'Step 4 Stage Discharge'!E$26:E$126,1),2)+(INDEX('Step 4 Stage Discharge'!E$26:F$126,MATCH(F92,'Step 4 Stage Discharge'!E$26:E$126,1)+1,2)-INDEX('Step 4 Stage Discharge'!E$26:F$126,MATCH(F92,'Step 4 Stage Discharge'!E$26:E$126,1),2))*(F92-INDEX('Step 4 Stage Discharge'!E$26:F$126,MATCH(F92,'Step 4 Stage Discharge'!E$26:E$126,1),1))/(INDEX('Step 4 Stage Discharge'!E$26:F$126,MATCH(F92,'Step 4 Stage Discharge'!E$26:E$126,1)+1,1)-INDEX('Step 4 Stage Discharge'!E$26:F$126,MATCH(F92,'Step 4 Stage Discharge'!E$26:E$126,1),1))</f>
        <v>0.1295965787894903</v>
      </c>
      <c r="H92" s="149"/>
      <c r="I92" s="149">
        <f>INDEX('Step 4 Stage Discharge'!E$26:M$126,MATCH(F92,'Step 4 Stage Discharge'!E$26:E$126,1),9)+(INDEX('Step 4 Stage Discharge'!E$26:M$126,MATCH('Step 5 Routing'!F92,'Step 4 Stage Discharge'!E$26:E$126,1)+1,9)-INDEX('Step 4 Stage Discharge'!E$26:M$126,MATCH('Step 5 Routing'!F92,'Step 4 Stage Discharge'!E$26:E$126,1),9))*('Step 5 Routing'!F92-INDEX('Step 4 Stage Discharge'!E$26:M$126,MATCH('Step 5 Routing'!F92,'Step 4 Stage Discharge'!E$26:E$126,1),1))/(INDEX('Step 4 Stage Discharge'!E$26:M$126,MATCH('Step 5 Routing'!F92,'Step 4 Stage Discharge'!E$26:E$126,1)+1,1)-INDEX('Step 4 Stage Discharge'!E$26:M$126,MATCH('Step 5 Routing'!F92,'Step 4 Stage Discharge'!E$26:E$126,1),1))</f>
        <v>3.1987007679858438E-2</v>
      </c>
      <c r="J92" s="149"/>
      <c r="K92" s="6">
        <f t="shared" si="6"/>
        <v>1.9192204607915062</v>
      </c>
      <c r="L92" s="6">
        <f t="shared" si="7"/>
        <v>50.171612566802935</v>
      </c>
    </row>
    <row r="93" spans="1:12">
      <c r="A93">
        <f t="shared" si="8"/>
        <v>80</v>
      </c>
      <c r="B93" s="136" t="str">
        <f>IF(C$5=Data!D$3,'Step 2 Inflow Hydrograph'!H137,IF(C$5=Data!D$4,'Step 2 Inflow Hydrograph'!I137,IF(C$5=Data!D$5,'Step 2 Inflow Hydrograph'!J137,'Step 2 Inflow Hydrograph'!K137)))</f>
        <v/>
      </c>
      <c r="C93" s="127"/>
      <c r="D93" s="6">
        <f t="shared" si="5"/>
        <v>0</v>
      </c>
      <c r="E93" s="6"/>
      <c r="F93" s="6">
        <f t="shared" si="9"/>
        <v>50.171612566802935</v>
      </c>
      <c r="G93" s="149">
        <f>INDEX('Step 4 Stage Discharge'!E$26:F$126,MATCH(F93,'Step 4 Stage Discharge'!E$26:E$126,1),2)+(INDEX('Step 4 Stage Discharge'!E$26:F$126,MATCH(F93,'Step 4 Stage Discharge'!E$26:E$126,1)+1,2)-INDEX('Step 4 Stage Discharge'!E$26:F$126,MATCH(F93,'Step 4 Stage Discharge'!E$26:E$126,1),2))*(F93-INDEX('Step 4 Stage Discharge'!E$26:F$126,MATCH(F93,'Step 4 Stage Discharge'!E$26:E$126,1),1))/(INDEX('Step 4 Stage Discharge'!E$26:F$126,MATCH(F93,'Step 4 Stage Discharge'!E$26:E$126,1)+1,1)-INDEX('Step 4 Stage Discharge'!E$26:F$126,MATCH(F93,'Step 4 Stage Discharge'!E$26:E$126,1),1))</f>
        <v>0.12508373910553736</v>
      </c>
      <c r="H93" s="149"/>
      <c r="I93" s="149">
        <f>INDEX('Step 4 Stage Discharge'!E$26:M$126,MATCH(F93,'Step 4 Stage Discharge'!E$26:E$126,1),9)+(INDEX('Step 4 Stage Discharge'!E$26:M$126,MATCH('Step 5 Routing'!F93,'Step 4 Stage Discharge'!E$26:E$126,1)+1,9)-INDEX('Step 4 Stage Discharge'!E$26:M$126,MATCH('Step 5 Routing'!F93,'Step 4 Stage Discharge'!E$26:E$126,1),9))*('Step 5 Routing'!F93-INDEX('Step 4 Stage Discharge'!E$26:M$126,MATCH('Step 5 Routing'!F93,'Step 4 Stage Discharge'!E$26:E$126,1),1))/(INDEX('Step 4 Stage Discharge'!E$26:M$126,MATCH('Step 5 Routing'!F93,'Step 4 Stage Discharge'!E$26:E$126,1)+1,1)-INDEX('Step 4 Stage Discharge'!E$26:M$126,MATCH('Step 5 Routing'!F93,'Step 4 Stage Discharge'!E$26:E$126,1),1))</f>
        <v>3.0075352846183886E-2</v>
      </c>
      <c r="J93" s="149"/>
      <c r="K93" s="6">
        <f t="shared" si="6"/>
        <v>1.8045211707710331</v>
      </c>
      <c r="L93" s="6">
        <f t="shared" si="7"/>
        <v>48.367091396031903</v>
      </c>
    </row>
    <row r="94" spans="1:12">
      <c r="A94">
        <f t="shared" si="8"/>
        <v>81</v>
      </c>
      <c r="B94" s="136" t="str">
        <f>IF(C$5=Data!D$3,'Step 2 Inflow Hydrograph'!H138,IF(C$5=Data!D$4,'Step 2 Inflow Hydrograph'!I138,IF(C$5=Data!D$5,'Step 2 Inflow Hydrograph'!J138,'Step 2 Inflow Hydrograph'!K138)))</f>
        <v/>
      </c>
      <c r="C94" s="127"/>
      <c r="D94" s="6">
        <f t="shared" si="5"/>
        <v>0</v>
      </c>
      <c r="E94" s="6"/>
      <c r="F94" s="6">
        <f t="shared" si="9"/>
        <v>48.367091396031903</v>
      </c>
      <c r="G94" s="149">
        <f>INDEX('Step 4 Stage Discharge'!E$26:F$126,MATCH(F94,'Step 4 Stage Discharge'!E$26:E$126,1),2)+(INDEX('Step 4 Stage Discharge'!E$26:F$126,MATCH(F94,'Step 4 Stage Discharge'!E$26:E$126,1)+1,2)-INDEX('Step 4 Stage Discharge'!E$26:F$126,MATCH(F94,'Step 4 Stage Discharge'!E$26:E$126,1),2))*(F94-INDEX('Step 4 Stage Discharge'!E$26:F$126,MATCH(F94,'Step 4 Stage Discharge'!E$26:E$126,1),1))/(INDEX('Step 4 Stage Discharge'!E$26:F$126,MATCH(F94,'Step 4 Stage Discharge'!E$26:E$126,1)+1,1)-INDEX('Step 4 Stage Discharge'!E$26:F$126,MATCH(F94,'Step 4 Stage Discharge'!E$26:E$126,1),1))</f>
        <v>0.12084060241730601</v>
      </c>
      <c r="H94" s="149"/>
      <c r="I94" s="149">
        <f>INDEX('Step 4 Stage Discharge'!E$26:M$126,MATCH(F94,'Step 4 Stage Discharge'!E$26:E$126,1),9)+(INDEX('Step 4 Stage Discharge'!E$26:M$126,MATCH('Step 5 Routing'!F94,'Step 4 Stage Discharge'!E$26:E$126,1)+1,9)-INDEX('Step 4 Stage Discharge'!E$26:M$126,MATCH('Step 5 Routing'!F94,'Step 4 Stage Discharge'!E$26:E$126,1),9))*('Step 5 Routing'!F94-INDEX('Step 4 Stage Discharge'!E$26:M$126,MATCH('Step 5 Routing'!F94,'Step 4 Stage Discharge'!E$26:E$126,1),1))/(INDEX('Step 4 Stage Discharge'!E$26:M$126,MATCH('Step 5 Routing'!F94,'Step 4 Stage Discharge'!E$26:E$126,1)+1,1)-INDEX('Step 4 Stage Discharge'!E$26:M$126,MATCH('Step 5 Routing'!F94,'Step 4 Stage Discharge'!E$26:E$126,1),1))</f>
        <v>2.8277945154339124E-2</v>
      </c>
      <c r="J94" s="149"/>
      <c r="K94" s="6">
        <f t="shared" si="6"/>
        <v>1.6966767092603474</v>
      </c>
      <c r="L94" s="6">
        <f t="shared" si="7"/>
        <v>46.670414686771558</v>
      </c>
    </row>
    <row r="95" spans="1:12">
      <c r="A95">
        <f t="shared" si="8"/>
        <v>82</v>
      </c>
      <c r="B95" s="136" t="str">
        <f>IF(C$5=Data!D$3,'Step 2 Inflow Hydrograph'!H139,IF(C$5=Data!D$4,'Step 2 Inflow Hydrograph'!I139,IF(C$5=Data!D$5,'Step 2 Inflow Hydrograph'!J139,'Step 2 Inflow Hydrograph'!K139)))</f>
        <v/>
      </c>
      <c r="C95" s="127"/>
      <c r="D95" s="6">
        <f t="shared" si="5"/>
        <v>0</v>
      </c>
      <c r="E95" s="6"/>
      <c r="F95" s="6">
        <f t="shared" si="9"/>
        <v>46.670414686771558</v>
      </c>
      <c r="G95" s="149">
        <f>INDEX('Step 4 Stage Discharge'!E$26:F$126,MATCH(F95,'Step 4 Stage Discharge'!E$26:E$126,1),2)+(INDEX('Step 4 Stage Discharge'!E$26:F$126,MATCH(F95,'Step 4 Stage Discharge'!E$26:E$126,1)+1,2)-INDEX('Step 4 Stage Discharge'!E$26:F$126,MATCH(F95,'Step 4 Stage Discharge'!E$26:E$126,1),2))*(F95-INDEX('Step 4 Stage Discharge'!E$26:F$126,MATCH(F95,'Step 4 Stage Discharge'!E$26:E$126,1),1))/(INDEX('Step 4 Stage Discharge'!E$26:F$126,MATCH(F95,'Step 4 Stage Discharge'!E$26:E$126,1)+1,1)-INDEX('Step 4 Stage Discharge'!E$26:F$126,MATCH(F95,'Step 4 Stage Discharge'!E$26:E$126,1),1))</f>
        <v>0.1168510503357119</v>
      </c>
      <c r="H95" s="149"/>
      <c r="I95" s="149">
        <f>INDEX('Step 4 Stage Discharge'!E$26:M$126,MATCH(F95,'Step 4 Stage Discharge'!E$26:E$126,1),9)+(INDEX('Step 4 Stage Discharge'!E$26:M$126,MATCH('Step 5 Routing'!F95,'Step 4 Stage Discharge'!E$26:E$126,1)+1,9)-INDEX('Step 4 Stage Discharge'!E$26:M$126,MATCH('Step 5 Routing'!F95,'Step 4 Stage Discharge'!E$26:E$126,1),9))*('Step 5 Routing'!F95-INDEX('Step 4 Stage Discharge'!E$26:M$126,MATCH('Step 5 Routing'!F95,'Step 4 Stage Discharge'!E$26:E$126,1),1))/(INDEX('Step 4 Stage Discharge'!E$26:M$126,MATCH('Step 5 Routing'!F95,'Step 4 Stage Discharge'!E$26:E$126,1)+1,1)-INDEX('Step 4 Stage Discharge'!E$26:M$126,MATCH('Step 5 Routing'!F95,'Step 4 Stage Discharge'!E$26:E$126,1),1))</f>
        <v>2.6587956797762859E-2</v>
      </c>
      <c r="J95" s="149"/>
      <c r="K95" s="6">
        <f t="shared" si="6"/>
        <v>1.5952774078657714</v>
      </c>
      <c r="L95" s="6">
        <f t="shared" si="7"/>
        <v>45.075137278905785</v>
      </c>
    </row>
    <row r="96" spans="1:12">
      <c r="A96">
        <f t="shared" si="8"/>
        <v>83</v>
      </c>
      <c r="B96" s="136" t="str">
        <f>IF(C$5=Data!D$3,'Step 2 Inflow Hydrograph'!H140,IF(C$5=Data!D$4,'Step 2 Inflow Hydrograph'!I140,IF(C$5=Data!D$5,'Step 2 Inflow Hydrograph'!J140,'Step 2 Inflow Hydrograph'!K140)))</f>
        <v/>
      </c>
      <c r="C96" s="127"/>
      <c r="D96" s="6">
        <f t="shared" si="5"/>
        <v>0</v>
      </c>
      <c r="E96" s="6"/>
      <c r="F96" s="6">
        <f t="shared" si="9"/>
        <v>45.075137278905785</v>
      </c>
      <c r="G96" s="149">
        <f>INDEX('Step 4 Stage Discharge'!E$26:F$126,MATCH(F96,'Step 4 Stage Discharge'!E$26:E$126,1),2)+(INDEX('Step 4 Stage Discharge'!E$26:F$126,MATCH(F96,'Step 4 Stage Discharge'!E$26:E$126,1)+1,2)-INDEX('Step 4 Stage Discharge'!E$26:F$126,MATCH(F96,'Step 4 Stage Discharge'!E$26:E$126,1),2))*(F96-INDEX('Step 4 Stage Discharge'!E$26:F$126,MATCH(F96,'Step 4 Stage Discharge'!E$26:E$126,1),1))/(INDEX('Step 4 Stage Discharge'!E$26:F$126,MATCH(F96,'Step 4 Stage Discharge'!E$26:E$126,1)+1,1)-INDEX('Step 4 Stage Discharge'!E$26:F$126,MATCH(F96,'Step 4 Stage Discharge'!E$26:E$126,1),1))</f>
        <v>0.11309992776266409</v>
      </c>
      <c r="H96" s="149"/>
      <c r="I96" s="149">
        <f>INDEX('Step 4 Stage Discharge'!E$26:M$126,MATCH(F96,'Step 4 Stage Discharge'!E$26:E$126,1),9)+(INDEX('Step 4 Stage Discharge'!E$26:M$126,MATCH('Step 5 Routing'!F96,'Step 4 Stage Discharge'!E$26:E$126,1)+1,9)-INDEX('Step 4 Stage Discharge'!E$26:M$126,MATCH('Step 5 Routing'!F96,'Step 4 Stage Discharge'!E$26:E$126,1),9))*('Step 5 Routing'!F96-INDEX('Step 4 Stage Discharge'!E$26:M$126,MATCH('Step 5 Routing'!F96,'Step 4 Stage Discharge'!E$26:E$126,1),1))/(INDEX('Step 4 Stage Discharge'!E$26:M$126,MATCH('Step 5 Routing'!F96,'Step 4 Stage Discharge'!E$26:E$126,1)+1,1)-INDEX('Step 4 Stage Discharge'!E$26:M$126,MATCH('Step 5 Routing'!F96,'Step 4 Stage Discharge'!E$26:E$126,1),1))</f>
        <v>2.4998968023361861E-2</v>
      </c>
      <c r="J96" s="149"/>
      <c r="K96" s="6">
        <f t="shared" si="6"/>
        <v>1.4999380814017116</v>
      </c>
      <c r="L96" s="6">
        <f t="shared" si="7"/>
        <v>43.575199197504077</v>
      </c>
    </row>
    <row r="97" spans="1:12">
      <c r="A97">
        <f t="shared" si="8"/>
        <v>84</v>
      </c>
      <c r="B97" s="136" t="str">
        <f>IF(C$5=Data!D$3,'Step 2 Inflow Hydrograph'!H141,IF(C$5=Data!D$4,'Step 2 Inflow Hydrograph'!I141,IF(C$5=Data!D$5,'Step 2 Inflow Hydrograph'!J141,'Step 2 Inflow Hydrograph'!K141)))</f>
        <v/>
      </c>
      <c r="C97" s="127"/>
      <c r="D97" s="6">
        <f t="shared" si="5"/>
        <v>0</v>
      </c>
      <c r="E97" s="6"/>
      <c r="F97" s="6">
        <f t="shared" si="9"/>
        <v>43.575199197504077</v>
      </c>
      <c r="G97" s="149">
        <f>INDEX('Step 4 Stage Discharge'!E$26:F$126,MATCH(F97,'Step 4 Stage Discharge'!E$26:E$126,1),2)+(INDEX('Step 4 Stage Discharge'!E$26:F$126,MATCH(F97,'Step 4 Stage Discharge'!E$26:E$126,1)+1,2)-INDEX('Step 4 Stage Discharge'!E$26:F$126,MATCH(F97,'Step 4 Stage Discharge'!E$26:E$126,1),2))*(F97-INDEX('Step 4 Stage Discharge'!E$26:F$126,MATCH(F97,'Step 4 Stage Discharge'!E$26:E$126,1),1))/(INDEX('Step 4 Stage Discharge'!E$26:F$126,MATCH(F97,'Step 4 Stage Discharge'!E$26:E$126,1)+1,1)-INDEX('Step 4 Stage Discharge'!E$26:F$126,MATCH(F97,'Step 4 Stage Discharge'!E$26:E$126,1),1))</f>
        <v>0.10957298532144487</v>
      </c>
      <c r="H97" s="149"/>
      <c r="I97" s="149">
        <f>INDEX('Step 4 Stage Discharge'!E$26:M$126,MATCH(F97,'Step 4 Stage Discharge'!E$26:E$126,1),9)+(INDEX('Step 4 Stage Discharge'!E$26:M$126,MATCH('Step 5 Routing'!F97,'Step 4 Stage Discharge'!E$26:E$126,1)+1,9)-INDEX('Step 4 Stage Discharge'!E$26:M$126,MATCH('Step 5 Routing'!F97,'Step 4 Stage Discharge'!E$26:E$126,1),9))*('Step 5 Routing'!F97-INDEX('Step 4 Stage Discharge'!E$26:M$126,MATCH('Step 5 Routing'!F97,'Step 4 Stage Discharge'!E$26:E$126,1),1))/(INDEX('Step 4 Stage Discharge'!E$26:M$126,MATCH('Step 5 Routing'!F97,'Step 4 Stage Discharge'!E$26:E$126,1)+1,1)-INDEX('Step 4 Stage Discharge'!E$26:M$126,MATCH('Step 5 Routing'!F97,'Step 4 Stage Discharge'!E$26:E$126,1),1))</f>
        <v>2.3504942744816435E-2</v>
      </c>
      <c r="J97" s="149"/>
      <c r="K97" s="6">
        <f t="shared" si="6"/>
        <v>1.410296564688986</v>
      </c>
      <c r="L97" s="6">
        <f t="shared" si="7"/>
        <v>42.164902632815092</v>
      </c>
    </row>
    <row r="98" spans="1:12">
      <c r="A98">
        <f t="shared" si="8"/>
        <v>85</v>
      </c>
      <c r="B98" s="136" t="str">
        <f>IF(C$5=Data!D$3,'Step 2 Inflow Hydrograph'!H142,IF(C$5=Data!D$4,'Step 2 Inflow Hydrograph'!I142,IF(C$5=Data!D$5,'Step 2 Inflow Hydrograph'!J142,'Step 2 Inflow Hydrograph'!K142)))</f>
        <v/>
      </c>
      <c r="C98" s="127"/>
      <c r="D98" s="6">
        <f t="shared" si="5"/>
        <v>0</v>
      </c>
      <c r="E98" s="6"/>
      <c r="F98" s="6">
        <f t="shared" si="9"/>
        <v>42.164902632815092</v>
      </c>
      <c r="G98" s="149">
        <f>INDEX('Step 4 Stage Discharge'!E$26:F$126,MATCH(F98,'Step 4 Stage Discharge'!E$26:E$126,1),2)+(INDEX('Step 4 Stage Discharge'!E$26:F$126,MATCH(F98,'Step 4 Stage Discharge'!E$26:E$126,1)+1,2)-INDEX('Step 4 Stage Discharge'!E$26:F$126,MATCH(F98,'Step 4 Stage Discharge'!E$26:E$126,1),2))*(F98-INDEX('Step 4 Stage Discharge'!E$26:F$126,MATCH(F98,'Step 4 Stage Discharge'!E$26:E$126,1),1))/(INDEX('Step 4 Stage Discharge'!E$26:F$126,MATCH(F98,'Step 4 Stage Discharge'!E$26:E$126,1)+1,1)-INDEX('Step 4 Stage Discharge'!E$26:F$126,MATCH(F98,'Step 4 Stage Discharge'!E$26:E$126,1),1))</f>
        <v>0.10625682522765023</v>
      </c>
      <c r="H98" s="149"/>
      <c r="I98" s="149">
        <f>INDEX('Step 4 Stage Discharge'!E$26:M$126,MATCH(F98,'Step 4 Stage Discharge'!E$26:E$126,1),9)+(INDEX('Step 4 Stage Discharge'!E$26:M$126,MATCH('Step 5 Routing'!F98,'Step 4 Stage Discharge'!E$26:E$126,1)+1,9)-INDEX('Step 4 Stage Discharge'!E$26:M$126,MATCH('Step 5 Routing'!F98,'Step 4 Stage Discharge'!E$26:E$126,1),9))*('Step 5 Routing'!F98-INDEX('Step 4 Stage Discharge'!E$26:M$126,MATCH('Step 5 Routing'!F98,'Step 4 Stage Discharge'!E$26:E$126,1),1))/(INDEX('Step 4 Stage Discharge'!E$26:M$126,MATCH('Step 5 Routing'!F98,'Step 4 Stage Discharge'!E$26:E$126,1)+1,1)-INDEX('Step 4 Stage Discharge'!E$26:M$126,MATCH('Step 5 Routing'!F98,'Step 4 Stage Discharge'!E$26:E$126,1),1))</f>
        <v>2.2100205613319591E-2</v>
      </c>
      <c r="J98" s="149"/>
      <c r="K98" s="6">
        <f t="shared" si="6"/>
        <v>1.3260123367991754</v>
      </c>
      <c r="L98" s="6">
        <f t="shared" si="7"/>
        <v>40.838890296015919</v>
      </c>
    </row>
    <row r="99" spans="1:12">
      <c r="A99">
        <f t="shared" si="8"/>
        <v>86</v>
      </c>
      <c r="B99" s="136" t="str">
        <f>IF(C$5=Data!D$3,'Step 2 Inflow Hydrograph'!H143,IF(C$5=Data!D$4,'Step 2 Inflow Hydrograph'!I143,IF(C$5=Data!D$5,'Step 2 Inflow Hydrograph'!J143,'Step 2 Inflow Hydrograph'!K143)))</f>
        <v/>
      </c>
      <c r="C99" s="127"/>
      <c r="D99" s="6">
        <f t="shared" si="5"/>
        <v>0</v>
      </c>
      <c r="E99" s="6"/>
      <c r="F99" s="6">
        <f t="shared" si="9"/>
        <v>40.838890296015919</v>
      </c>
      <c r="G99" s="149">
        <f>INDEX('Step 4 Stage Discharge'!E$26:F$126,MATCH(F99,'Step 4 Stage Discharge'!E$26:E$126,1),2)+(INDEX('Step 4 Stage Discharge'!E$26:F$126,MATCH(F99,'Step 4 Stage Discharge'!E$26:E$126,1)+1,2)-INDEX('Step 4 Stage Discharge'!E$26:F$126,MATCH(F99,'Step 4 Stage Discharge'!E$26:E$126,1),2))*(F99-INDEX('Step 4 Stage Discharge'!E$26:F$126,MATCH(F99,'Step 4 Stage Discharge'!E$26:E$126,1),1))/(INDEX('Step 4 Stage Discharge'!E$26:F$126,MATCH(F99,'Step 4 Stage Discharge'!E$26:E$126,1)+1,1)-INDEX('Step 4 Stage Discharge'!E$26:F$126,MATCH(F99,'Step 4 Stage Discharge'!E$26:E$126,1),1))</f>
        <v>0.10313885039507129</v>
      </c>
      <c r="H99" s="149"/>
      <c r="I99" s="149">
        <f>INDEX('Step 4 Stage Discharge'!E$26:M$126,MATCH(F99,'Step 4 Stage Discharge'!E$26:E$126,1),9)+(INDEX('Step 4 Stage Discharge'!E$26:M$126,MATCH('Step 5 Routing'!F99,'Step 4 Stage Discharge'!E$26:E$126,1)+1,9)-INDEX('Step 4 Stage Discharge'!E$26:M$126,MATCH('Step 5 Routing'!F99,'Step 4 Stage Discharge'!E$26:E$126,1),9))*('Step 5 Routing'!F99-INDEX('Step 4 Stage Discharge'!E$26:M$126,MATCH('Step 5 Routing'!F99,'Step 4 Stage Discharge'!E$26:E$126,1),1))/(INDEX('Step 4 Stage Discharge'!E$26:M$126,MATCH('Step 5 Routing'!F99,'Step 4 Stage Discharge'!E$26:E$126,1)+1,1)-INDEX('Step 4 Stage Discharge'!E$26:M$126,MATCH('Step 5 Routing'!F99,'Step 4 Stage Discharge'!E$26:E$126,1),1))</f>
        <v>2.0779420458648605E-2</v>
      </c>
      <c r="J99" s="149"/>
      <c r="K99" s="6">
        <f t="shared" si="6"/>
        <v>1.2467652275189163</v>
      </c>
      <c r="L99" s="6">
        <f t="shared" si="7"/>
        <v>39.592125068497005</v>
      </c>
    </row>
    <row r="100" spans="1:12">
      <c r="A100">
        <f t="shared" si="8"/>
        <v>87</v>
      </c>
      <c r="B100" s="136" t="str">
        <f>IF(C$5=Data!D$3,'Step 2 Inflow Hydrograph'!H144,IF(C$5=Data!D$4,'Step 2 Inflow Hydrograph'!I144,IF(C$5=Data!D$5,'Step 2 Inflow Hydrograph'!J144,'Step 2 Inflow Hydrograph'!K144)))</f>
        <v/>
      </c>
      <c r="C100" s="127"/>
      <c r="D100" s="6">
        <f t="shared" si="5"/>
        <v>0</v>
      </c>
      <c r="E100" s="6"/>
      <c r="F100" s="6">
        <f t="shared" si="9"/>
        <v>39.592125068497005</v>
      </c>
      <c r="G100" s="149">
        <f>INDEX('Step 4 Stage Discharge'!E$26:F$126,MATCH(F100,'Step 4 Stage Discharge'!E$26:E$126,1),2)+(INDEX('Step 4 Stage Discharge'!E$26:F$126,MATCH(F100,'Step 4 Stage Discharge'!E$26:E$126,1)+1,2)-INDEX('Step 4 Stage Discharge'!E$26:F$126,MATCH(F100,'Step 4 Stage Discharge'!E$26:E$126,1),2))*(F100-INDEX('Step 4 Stage Discharge'!E$26:F$126,MATCH(F100,'Step 4 Stage Discharge'!E$26:E$126,1),1))/(INDEX('Step 4 Stage Discharge'!E$26:F$126,MATCH(F100,'Step 4 Stage Discharge'!E$26:E$126,1)+1,1)-INDEX('Step 4 Stage Discharge'!E$26:F$126,MATCH(F100,'Step 4 Stage Discharge'!E$26:E$126,1),1))</f>
        <v>0.1002072165831852</v>
      </c>
      <c r="H100" s="149"/>
      <c r="I100" s="149">
        <f>INDEX('Step 4 Stage Discharge'!E$26:M$126,MATCH(F100,'Step 4 Stage Discharge'!E$26:E$126,1),9)+(INDEX('Step 4 Stage Discharge'!E$26:M$126,MATCH('Step 5 Routing'!F100,'Step 4 Stage Discharge'!E$26:E$126,1)+1,9)-INDEX('Step 4 Stage Discharge'!E$26:M$126,MATCH('Step 5 Routing'!F100,'Step 4 Stage Discharge'!E$26:E$126,1),9))*('Step 5 Routing'!F100-INDEX('Step 4 Stage Discharge'!E$26:M$126,MATCH('Step 5 Routing'!F100,'Step 4 Stage Discharge'!E$26:E$126,1),1))/(INDEX('Step 4 Stage Discharge'!E$26:M$126,MATCH('Step 5 Routing'!F100,'Step 4 Stage Discharge'!E$26:E$126,1)+1,1)-INDEX('Step 4 Stage Discharge'!E$26:M$126,MATCH('Step 5 Routing'!F100,'Step 4 Stage Discharge'!E$26:E$126,1),1))</f>
        <v>1.9537570018673119E-2</v>
      </c>
      <c r="J100" s="149"/>
      <c r="K100" s="6">
        <f t="shared" si="6"/>
        <v>1.1722542011203871</v>
      </c>
      <c r="L100" s="6">
        <f t="shared" si="7"/>
        <v>38.419870867376616</v>
      </c>
    </row>
    <row r="101" spans="1:12">
      <c r="A101">
        <f t="shared" si="8"/>
        <v>88</v>
      </c>
      <c r="B101" s="136" t="str">
        <f>IF(C$5=Data!D$3,'Step 2 Inflow Hydrograph'!H145,IF(C$5=Data!D$4,'Step 2 Inflow Hydrograph'!I145,IF(C$5=Data!D$5,'Step 2 Inflow Hydrograph'!J145,'Step 2 Inflow Hydrograph'!K145)))</f>
        <v/>
      </c>
      <c r="C101" s="127"/>
      <c r="D101" s="6">
        <f t="shared" si="5"/>
        <v>0</v>
      </c>
      <c r="E101" s="6"/>
      <c r="F101" s="6">
        <f t="shared" si="9"/>
        <v>38.419870867376616</v>
      </c>
      <c r="G101" s="149">
        <f>INDEX('Step 4 Stage Discharge'!E$26:F$126,MATCH(F101,'Step 4 Stage Discharge'!E$26:E$126,1),2)+(INDEX('Step 4 Stage Discharge'!E$26:F$126,MATCH(F101,'Step 4 Stage Discharge'!E$26:E$126,1)+1,2)-INDEX('Step 4 Stage Discharge'!E$26:F$126,MATCH(F101,'Step 4 Stage Discharge'!E$26:E$126,1),2))*(F101-INDEX('Step 4 Stage Discharge'!E$26:F$126,MATCH(F101,'Step 4 Stage Discharge'!E$26:E$126,1),1))/(INDEX('Step 4 Stage Discharge'!E$26:F$126,MATCH(F101,'Step 4 Stage Discharge'!E$26:E$126,1)+1,1)-INDEX('Step 4 Stage Discharge'!E$26:F$126,MATCH(F101,'Step 4 Stage Discharge'!E$26:E$126,1),1))</f>
        <v>9.7255647193642714E-2</v>
      </c>
      <c r="H101" s="149"/>
      <c r="I101" s="149">
        <f>INDEX('Step 4 Stage Discharge'!E$26:M$126,MATCH(F101,'Step 4 Stage Discharge'!E$26:E$126,1),9)+(INDEX('Step 4 Stage Discharge'!E$26:M$126,MATCH('Step 5 Routing'!F101,'Step 4 Stage Discharge'!E$26:E$126,1)+1,9)-INDEX('Step 4 Stage Discharge'!E$26:M$126,MATCH('Step 5 Routing'!F101,'Step 4 Stage Discharge'!E$26:E$126,1),9))*('Step 5 Routing'!F101-INDEX('Step 4 Stage Discharge'!E$26:M$126,MATCH('Step 5 Routing'!F101,'Step 4 Stage Discharge'!E$26:E$126,1),1))/(INDEX('Step 4 Stage Discharge'!E$26:M$126,MATCH('Step 5 Routing'!F101,'Step 4 Stage Discharge'!E$26:E$126,1)+1,1)-INDEX('Step 4 Stage Discharge'!E$26:M$126,MATCH('Step 5 Routing'!F101,'Step 4 Stage Discharge'!E$26:E$126,1),1))</f>
        <v>1.9035783416868905E-2</v>
      </c>
      <c r="J101" s="149"/>
      <c r="K101" s="6">
        <f t="shared" si="6"/>
        <v>1.1421470050121343</v>
      </c>
      <c r="L101" s="6">
        <f t="shared" si="7"/>
        <v>37.277723862364482</v>
      </c>
    </row>
    <row r="102" spans="1:12">
      <c r="A102">
        <f t="shared" si="8"/>
        <v>89</v>
      </c>
      <c r="B102" s="136" t="str">
        <f>IF(C$5=Data!D$3,'Step 2 Inflow Hydrograph'!H146,IF(C$5=Data!D$4,'Step 2 Inflow Hydrograph'!I146,IF(C$5=Data!D$5,'Step 2 Inflow Hydrograph'!J146,'Step 2 Inflow Hydrograph'!K146)))</f>
        <v/>
      </c>
      <c r="C102" s="127"/>
      <c r="D102" s="6">
        <f t="shared" si="5"/>
        <v>0</v>
      </c>
      <c r="E102" s="6"/>
      <c r="F102" s="6">
        <f t="shared" si="9"/>
        <v>37.277723862364482</v>
      </c>
      <c r="G102" s="149">
        <f>INDEX('Step 4 Stage Discharge'!E$26:F$126,MATCH(F102,'Step 4 Stage Discharge'!E$26:E$126,1),2)+(INDEX('Step 4 Stage Discharge'!E$26:F$126,MATCH(F102,'Step 4 Stage Discharge'!E$26:E$126,1)+1,2)-INDEX('Step 4 Stage Discharge'!E$26:F$126,MATCH(F102,'Step 4 Stage Discharge'!E$26:E$126,1),2))*(F102-INDEX('Step 4 Stage Discharge'!E$26:F$126,MATCH(F102,'Step 4 Stage Discharge'!E$26:E$126,1),1))/(INDEX('Step 4 Stage Discharge'!E$26:F$126,MATCH(F102,'Step 4 Stage Discharge'!E$26:E$126,1)+1,1)-INDEX('Step 4 Stage Discharge'!E$26:F$126,MATCH(F102,'Step 4 Stage Discharge'!E$26:E$126,1),1))</f>
        <v>9.4364428570181444E-2</v>
      </c>
      <c r="H102" s="149"/>
      <c r="I102" s="149">
        <f>INDEX('Step 4 Stage Discharge'!E$26:M$126,MATCH(F102,'Step 4 Stage Discharge'!E$26:E$126,1),9)+(INDEX('Step 4 Stage Discharge'!E$26:M$126,MATCH('Step 5 Routing'!F102,'Step 4 Stage Discharge'!E$26:E$126,1)+1,9)-INDEX('Step 4 Stage Discharge'!E$26:M$126,MATCH('Step 5 Routing'!F102,'Step 4 Stage Discharge'!E$26:E$126,1),9))*('Step 5 Routing'!F102-INDEX('Step 4 Stage Discharge'!E$26:M$126,MATCH('Step 5 Routing'!F102,'Step 4 Stage Discharge'!E$26:E$126,1),1))/(INDEX('Step 4 Stage Discharge'!E$26:M$126,MATCH('Step 5 Routing'!F102,'Step 4 Stage Discharge'!E$26:E$126,1)+1,1)-INDEX('Step 4 Stage Discharge'!E$26:M$126,MATCH('Step 5 Routing'!F102,'Step 4 Stage Discharge'!E$26:E$126,1),1))</f>
        <v>1.8599618536131929E-2</v>
      </c>
      <c r="J102" s="149"/>
      <c r="K102" s="6">
        <f t="shared" si="6"/>
        <v>1.1159771121679158</v>
      </c>
      <c r="L102" s="6">
        <f t="shared" si="7"/>
        <v>36.161746750196563</v>
      </c>
    </row>
    <row r="103" spans="1:12">
      <c r="A103">
        <f t="shared" si="8"/>
        <v>90</v>
      </c>
      <c r="B103" s="136" t="str">
        <f>IF(C$5=Data!D$3,'Step 2 Inflow Hydrograph'!H147,IF(C$5=Data!D$4,'Step 2 Inflow Hydrograph'!I147,IF(C$5=Data!D$5,'Step 2 Inflow Hydrograph'!J147,'Step 2 Inflow Hydrograph'!K147)))</f>
        <v/>
      </c>
      <c r="C103" s="127"/>
      <c r="D103" s="6">
        <f t="shared" si="5"/>
        <v>0</v>
      </c>
      <c r="E103" s="6"/>
      <c r="F103" s="6">
        <f t="shared" si="9"/>
        <v>36.161746750196563</v>
      </c>
      <c r="G103" s="149">
        <f>INDEX('Step 4 Stage Discharge'!E$26:F$126,MATCH(F103,'Step 4 Stage Discharge'!E$26:E$126,1),2)+(INDEX('Step 4 Stage Discharge'!E$26:F$126,MATCH(F103,'Step 4 Stage Discharge'!E$26:E$126,1)+1,2)-INDEX('Step 4 Stage Discharge'!E$26:F$126,MATCH(F103,'Step 4 Stage Discharge'!E$26:E$126,1),2))*(F103-INDEX('Step 4 Stage Discharge'!E$26:F$126,MATCH(F103,'Step 4 Stage Discharge'!E$26:E$126,1),1))/(INDEX('Step 4 Stage Discharge'!E$26:F$126,MATCH(F103,'Step 4 Stage Discharge'!E$26:E$126,1)+1,1)-INDEX('Step 4 Stage Discharge'!E$26:F$126,MATCH(F103,'Step 4 Stage Discharge'!E$26:E$126,1),1))</f>
        <v>9.1539456131522284E-2</v>
      </c>
      <c r="H103" s="149"/>
      <c r="I103" s="149">
        <f>INDEX('Step 4 Stage Discharge'!E$26:M$126,MATCH(F103,'Step 4 Stage Discharge'!E$26:E$126,1),9)+(INDEX('Step 4 Stage Discharge'!E$26:M$126,MATCH('Step 5 Routing'!F103,'Step 4 Stage Discharge'!E$26:E$126,1)+1,9)-INDEX('Step 4 Stage Discharge'!E$26:M$126,MATCH('Step 5 Routing'!F103,'Step 4 Stage Discharge'!E$26:E$126,1),9))*('Step 5 Routing'!F103-INDEX('Step 4 Stage Discharge'!E$26:M$126,MATCH('Step 5 Routing'!F103,'Step 4 Stage Discharge'!E$26:E$126,1),1))/(INDEX('Step 4 Stage Discharge'!E$26:M$126,MATCH('Step 5 Routing'!F103,'Step 4 Stage Discharge'!E$26:E$126,1)+1,1)-INDEX('Step 4 Stage Discharge'!E$26:M$126,MATCH('Step 5 Routing'!F103,'Step 4 Stage Discharge'!E$26:E$126,1),1))</f>
        <v>1.8173447454915684E-2</v>
      </c>
      <c r="J103" s="149"/>
      <c r="K103" s="6">
        <f t="shared" si="6"/>
        <v>1.0904068472949411</v>
      </c>
      <c r="L103" s="6">
        <f t="shared" si="7"/>
        <v>35.07133990290162</v>
      </c>
    </row>
    <row r="104" spans="1:12">
      <c r="A104">
        <f t="shared" si="8"/>
        <v>91</v>
      </c>
      <c r="B104" s="136">
        <f>IF(C$5=Data!D$3,'Step 2 Inflow Hydrograph'!H148,IF(C$5=Data!D$4,'Step 2 Inflow Hydrograph'!I148,IF(C$5=Data!D$5,'Step 2 Inflow Hydrograph'!J148,'Step 2 Inflow Hydrograph'!K148)))</f>
        <v>0</v>
      </c>
      <c r="C104" s="127"/>
      <c r="D104" s="6">
        <f t="shared" si="5"/>
        <v>0</v>
      </c>
      <c r="E104" s="6"/>
      <c r="F104" s="6">
        <f t="shared" si="9"/>
        <v>35.07133990290162</v>
      </c>
      <c r="G104" s="149">
        <f>INDEX('Step 4 Stage Discharge'!E$26:F$126,MATCH(F104,'Step 4 Stage Discharge'!E$26:E$126,1),2)+(INDEX('Step 4 Stage Discharge'!E$26:F$126,MATCH(F104,'Step 4 Stage Discharge'!E$26:E$126,1)+1,2)-INDEX('Step 4 Stage Discharge'!E$26:F$126,MATCH(F104,'Step 4 Stage Discharge'!E$26:E$126,1),2))*(F104-INDEX('Step 4 Stage Discharge'!E$26:F$126,MATCH(F104,'Step 4 Stage Discharge'!E$26:E$126,1),1))/(INDEX('Step 4 Stage Discharge'!E$26:F$126,MATCH(F104,'Step 4 Stage Discharge'!E$26:E$126,1)+1,1)-INDEX('Step 4 Stage Discharge'!E$26:F$126,MATCH(F104,'Step 4 Stage Discharge'!E$26:E$126,1),1))</f>
        <v>8.8779211985878945E-2</v>
      </c>
      <c r="H104" s="149"/>
      <c r="I104" s="149">
        <f>INDEX('Step 4 Stage Discharge'!E$26:M$126,MATCH(F104,'Step 4 Stage Discharge'!E$26:E$126,1),9)+(INDEX('Step 4 Stage Discharge'!E$26:M$126,MATCH('Step 5 Routing'!F104,'Step 4 Stage Discharge'!E$26:E$126,1)+1,9)-INDEX('Step 4 Stage Discharge'!E$26:M$126,MATCH('Step 5 Routing'!F104,'Step 4 Stage Discharge'!E$26:E$126,1),9))*('Step 5 Routing'!F104-INDEX('Step 4 Stage Discharge'!E$26:M$126,MATCH('Step 5 Routing'!F104,'Step 4 Stage Discharge'!E$26:E$126,1),1))/(INDEX('Step 4 Stage Discharge'!E$26:M$126,MATCH('Step 5 Routing'!F104,'Step 4 Stage Discharge'!E$26:E$126,1)+1,1)-INDEX('Step 4 Stage Discharge'!E$26:M$126,MATCH('Step 5 Routing'!F104,'Step 4 Stage Discharge'!E$26:E$126,1),1))</f>
        <v>1.7757041186354721E-2</v>
      </c>
      <c r="J104" s="149"/>
      <c r="K104" s="6">
        <f t="shared" si="6"/>
        <v>1.0654224711812832</v>
      </c>
      <c r="L104" s="6">
        <f t="shared" si="7"/>
        <v>34.005917431720334</v>
      </c>
    </row>
    <row r="105" spans="1:12">
      <c r="A105">
        <f t="shared" si="8"/>
        <v>92</v>
      </c>
      <c r="B105" s="136">
        <f>IF(C$5=Data!D$3,'Step 2 Inflow Hydrograph'!H149,IF(C$5=Data!D$4,'Step 2 Inflow Hydrograph'!I149,IF(C$5=Data!D$5,'Step 2 Inflow Hydrograph'!J149,'Step 2 Inflow Hydrograph'!K149)))</f>
        <v>0</v>
      </c>
      <c r="C105" s="127"/>
      <c r="D105" s="6">
        <f t="shared" si="5"/>
        <v>0</v>
      </c>
      <c r="E105" s="6"/>
      <c r="F105" s="6">
        <f t="shared" si="9"/>
        <v>34.005917431720334</v>
      </c>
      <c r="G105" s="149">
        <f>INDEX('Step 4 Stage Discharge'!E$26:F$126,MATCH(F105,'Step 4 Stage Discharge'!E$26:E$126,1),2)+(INDEX('Step 4 Stage Discharge'!E$26:F$126,MATCH(F105,'Step 4 Stage Discharge'!E$26:E$126,1)+1,2)-INDEX('Step 4 Stage Discharge'!E$26:F$126,MATCH(F105,'Step 4 Stage Discharge'!E$26:E$126,1),2))*(F105-INDEX('Step 4 Stage Discharge'!E$26:F$126,MATCH(F105,'Step 4 Stage Discharge'!E$26:E$126,1),1))/(INDEX('Step 4 Stage Discharge'!E$26:F$126,MATCH(F105,'Step 4 Stage Discharge'!E$26:E$126,1)+1,1)-INDEX('Step 4 Stage Discharge'!E$26:F$126,MATCH(F105,'Step 4 Stage Discharge'!E$26:E$126,1),1))</f>
        <v>8.6082213020758233E-2</v>
      </c>
      <c r="H105" s="149"/>
      <c r="I105" s="149">
        <f>INDEX('Step 4 Stage Discharge'!E$26:M$126,MATCH(F105,'Step 4 Stage Discharge'!E$26:E$126,1),9)+(INDEX('Step 4 Stage Discharge'!E$26:M$126,MATCH('Step 5 Routing'!F105,'Step 4 Stage Discharge'!E$26:E$126,1)+1,9)-INDEX('Step 4 Stage Discharge'!E$26:M$126,MATCH('Step 5 Routing'!F105,'Step 4 Stage Discharge'!E$26:E$126,1),9))*('Step 5 Routing'!F105-INDEX('Step 4 Stage Discharge'!E$26:M$126,MATCH('Step 5 Routing'!F105,'Step 4 Stage Discharge'!E$26:E$126,1),1))/(INDEX('Step 4 Stage Discharge'!E$26:M$126,MATCH('Step 5 Routing'!F105,'Step 4 Stage Discharge'!E$26:E$126,1)+1,1)-INDEX('Step 4 Stage Discharge'!E$26:M$126,MATCH('Step 5 Routing'!F105,'Step 4 Stage Discharge'!E$26:E$126,1),1))</f>
        <v>1.7350175990335278E-2</v>
      </c>
      <c r="J105" s="149"/>
      <c r="K105" s="6">
        <f t="shared" si="6"/>
        <v>1.0410105594201167</v>
      </c>
      <c r="L105" s="6">
        <f t="shared" si="7"/>
        <v>32.964906872300219</v>
      </c>
    </row>
    <row r="106" spans="1:12">
      <c r="A106">
        <f t="shared" si="8"/>
        <v>93</v>
      </c>
      <c r="B106" s="136">
        <f>IF(C$5=Data!D$3,'Step 2 Inflow Hydrograph'!H150,IF(C$5=Data!D$4,'Step 2 Inflow Hydrograph'!I150,IF(C$5=Data!D$5,'Step 2 Inflow Hydrograph'!J150,'Step 2 Inflow Hydrograph'!K150)))</f>
        <v>0</v>
      </c>
      <c r="C106" s="127"/>
      <c r="D106" s="6">
        <f t="shared" si="5"/>
        <v>0</v>
      </c>
      <c r="E106" s="6"/>
      <c r="F106" s="6">
        <f t="shared" si="9"/>
        <v>32.964906872300219</v>
      </c>
      <c r="G106" s="149">
        <f>INDEX('Step 4 Stage Discharge'!E$26:F$126,MATCH(F106,'Step 4 Stage Discharge'!E$26:E$126,1),2)+(INDEX('Step 4 Stage Discharge'!E$26:F$126,MATCH(F106,'Step 4 Stage Discharge'!E$26:E$126,1)+1,2)-INDEX('Step 4 Stage Discharge'!E$26:F$126,MATCH(F106,'Step 4 Stage Discharge'!E$26:E$126,1),2))*(F106-INDEX('Step 4 Stage Discharge'!E$26:F$126,MATCH(F106,'Step 4 Stage Discharge'!E$26:E$126,1),1))/(INDEX('Step 4 Stage Discharge'!E$26:F$126,MATCH(F106,'Step 4 Stage Discharge'!E$26:E$126,1)+1,1)-INDEX('Step 4 Stage Discharge'!E$26:F$126,MATCH(F106,'Step 4 Stage Discharge'!E$26:E$126,1),1))</f>
        <v>8.3447010106065755E-2</v>
      </c>
      <c r="H106" s="149"/>
      <c r="I106" s="149">
        <f>INDEX('Step 4 Stage Discharge'!E$26:M$126,MATCH(F106,'Step 4 Stage Discharge'!E$26:E$126,1),9)+(INDEX('Step 4 Stage Discharge'!E$26:M$126,MATCH('Step 5 Routing'!F106,'Step 4 Stage Discharge'!E$26:E$126,1)+1,9)-INDEX('Step 4 Stage Discharge'!E$26:M$126,MATCH('Step 5 Routing'!F106,'Step 4 Stage Discharge'!E$26:E$126,1),9))*('Step 5 Routing'!F106-INDEX('Step 4 Stage Discharge'!E$26:M$126,MATCH('Step 5 Routing'!F106,'Step 4 Stage Discharge'!E$26:E$126,1),1))/(INDEX('Step 4 Stage Discharge'!E$26:M$126,MATCH('Step 5 Routing'!F106,'Step 4 Stage Discharge'!E$26:E$126,1)+1,1)-INDEX('Step 4 Stage Discharge'!E$26:M$126,MATCH('Step 5 Routing'!F106,'Step 4 Stage Discharge'!E$26:E$126,1),1))</f>
        <v>1.6952633253277026E-2</v>
      </c>
      <c r="J106" s="149"/>
      <c r="K106" s="6">
        <f t="shared" si="6"/>
        <v>1.0171579951966216</v>
      </c>
      <c r="L106" s="6">
        <f t="shared" si="7"/>
        <v>31.947748877103596</v>
      </c>
    </row>
    <row r="107" spans="1:12">
      <c r="A107">
        <f t="shared" si="8"/>
        <v>94</v>
      </c>
      <c r="B107" s="136">
        <f>IF(C$5=Data!D$3,'Step 2 Inflow Hydrograph'!H151,IF(C$5=Data!D$4,'Step 2 Inflow Hydrograph'!I151,IF(C$5=Data!D$5,'Step 2 Inflow Hydrograph'!J151,'Step 2 Inflow Hydrograph'!K151)))</f>
        <v>0</v>
      </c>
      <c r="C107" s="127"/>
      <c r="D107" s="6">
        <f t="shared" si="5"/>
        <v>0</v>
      </c>
      <c r="E107" s="6"/>
      <c r="F107" s="6">
        <f t="shared" si="9"/>
        <v>31.947748877103596</v>
      </c>
      <c r="G107" s="149">
        <f>INDEX('Step 4 Stage Discharge'!E$26:F$126,MATCH(F107,'Step 4 Stage Discharge'!E$26:E$126,1),2)+(INDEX('Step 4 Stage Discharge'!E$26:F$126,MATCH(F107,'Step 4 Stage Discharge'!E$26:E$126,1)+1,2)-INDEX('Step 4 Stage Discharge'!E$26:F$126,MATCH(F107,'Step 4 Stage Discharge'!E$26:E$126,1),2))*(F107-INDEX('Step 4 Stage Discharge'!E$26:F$126,MATCH(F107,'Step 4 Stage Discharge'!E$26:E$126,1),1))/(INDEX('Step 4 Stage Discharge'!E$26:F$126,MATCH(F107,'Step 4 Stage Discharge'!E$26:E$126,1)+1,1)-INDEX('Step 4 Stage Discharge'!E$26:F$126,MATCH(F107,'Step 4 Stage Discharge'!E$26:E$126,1),1))</f>
        <v>8.0872187315470814E-2</v>
      </c>
      <c r="H107" s="149"/>
      <c r="I107" s="149">
        <f>INDEX('Step 4 Stage Discharge'!E$26:M$126,MATCH(F107,'Step 4 Stage Discharge'!E$26:E$126,1),9)+(INDEX('Step 4 Stage Discharge'!E$26:M$126,MATCH('Step 5 Routing'!F107,'Step 4 Stage Discharge'!E$26:E$126,1)+1,9)-INDEX('Step 4 Stage Discharge'!E$26:M$126,MATCH('Step 5 Routing'!F107,'Step 4 Stage Discharge'!E$26:E$126,1),9))*('Step 5 Routing'!F107-INDEX('Step 4 Stage Discharge'!E$26:M$126,MATCH('Step 5 Routing'!F107,'Step 4 Stage Discharge'!E$26:E$126,1),1))/(INDEX('Step 4 Stage Discharge'!E$26:M$126,MATCH('Step 5 Routing'!F107,'Step 4 Stage Discharge'!E$26:E$126,1)+1,1)-INDEX('Step 4 Stage Discharge'!E$26:M$126,MATCH('Step 5 Routing'!F107,'Step 4 Stage Discharge'!E$26:E$126,1),1))</f>
        <v>1.6564199370669344E-2</v>
      </c>
      <c r="J107" s="149"/>
      <c r="K107" s="6">
        <f t="shared" si="6"/>
        <v>0.9938519622401607</v>
      </c>
      <c r="L107" s="6">
        <f t="shared" si="7"/>
        <v>30.953896914863435</v>
      </c>
    </row>
    <row r="108" spans="1:12">
      <c r="A108">
        <f t="shared" si="8"/>
        <v>95</v>
      </c>
      <c r="B108" s="136">
        <f>IF(C$5=Data!D$3,'Step 2 Inflow Hydrograph'!H152,IF(C$5=Data!D$4,'Step 2 Inflow Hydrograph'!I152,IF(C$5=Data!D$5,'Step 2 Inflow Hydrograph'!J152,'Step 2 Inflow Hydrograph'!K152)))</f>
        <v>0</v>
      </c>
      <c r="C108" s="127"/>
      <c r="D108" s="6">
        <f t="shared" si="5"/>
        <v>0</v>
      </c>
      <c r="E108" s="6"/>
      <c r="F108" s="6">
        <f t="shared" si="9"/>
        <v>30.953896914863435</v>
      </c>
      <c r="G108" s="149">
        <f>INDEX('Step 4 Stage Discharge'!E$26:F$126,MATCH(F108,'Step 4 Stage Discharge'!E$26:E$126,1),2)+(INDEX('Step 4 Stage Discharge'!E$26:F$126,MATCH(F108,'Step 4 Stage Discharge'!E$26:E$126,1)+1,2)-INDEX('Step 4 Stage Discharge'!E$26:F$126,MATCH(F108,'Step 4 Stage Discharge'!E$26:E$126,1),2))*(F108-INDEX('Step 4 Stage Discharge'!E$26:F$126,MATCH(F108,'Step 4 Stage Discharge'!E$26:E$126,1),1))/(INDEX('Step 4 Stage Discharge'!E$26:F$126,MATCH(F108,'Step 4 Stage Discharge'!E$26:E$126,1)+1,1)-INDEX('Step 4 Stage Discharge'!E$26:F$126,MATCH(F108,'Step 4 Stage Discharge'!E$26:E$126,1),1))</f>
        <v>7.8356361165612176E-2</v>
      </c>
      <c r="H108" s="149"/>
      <c r="I108" s="149">
        <f>INDEX('Step 4 Stage Discharge'!E$26:M$126,MATCH(F108,'Step 4 Stage Discharge'!E$26:E$126,1),9)+(INDEX('Step 4 Stage Discharge'!E$26:M$126,MATCH('Step 5 Routing'!F108,'Step 4 Stage Discharge'!E$26:E$126,1)+1,9)-INDEX('Step 4 Stage Discharge'!E$26:M$126,MATCH('Step 5 Routing'!F108,'Step 4 Stage Discharge'!E$26:E$126,1),9))*('Step 5 Routing'!F108-INDEX('Step 4 Stage Discharge'!E$26:M$126,MATCH('Step 5 Routing'!F108,'Step 4 Stage Discharge'!E$26:E$126,1),1))/(INDEX('Step 4 Stage Discharge'!E$26:M$126,MATCH('Step 5 Routing'!F108,'Step 4 Stage Discharge'!E$26:E$126,1)+1,1)-INDEX('Step 4 Stage Discharge'!E$26:M$126,MATCH('Step 5 Routing'!F108,'Step 4 Stage Discharge'!E$26:E$126,1),1))</f>
        <v>1.6184665632299047E-2</v>
      </c>
      <c r="J108" s="149"/>
      <c r="K108" s="6">
        <f t="shared" si="6"/>
        <v>0.97107993793794289</v>
      </c>
      <c r="L108" s="6">
        <f t="shared" si="7"/>
        <v>29.982816976925491</v>
      </c>
    </row>
    <row r="109" spans="1:12">
      <c r="A109">
        <f t="shared" si="8"/>
        <v>96</v>
      </c>
      <c r="B109" s="136">
        <f>IF(C$5=Data!D$3,'Step 2 Inflow Hydrograph'!H153,IF(C$5=Data!D$4,'Step 2 Inflow Hydrograph'!I153,IF(C$5=Data!D$5,'Step 2 Inflow Hydrograph'!J153,'Step 2 Inflow Hydrograph'!K153)))</f>
        <v>0</v>
      </c>
      <c r="C109" s="127"/>
      <c r="D109" s="6">
        <f t="shared" si="5"/>
        <v>0</v>
      </c>
      <c r="E109" s="6"/>
      <c r="F109" s="6">
        <f t="shared" si="9"/>
        <v>29.982816976925491</v>
      </c>
      <c r="G109" s="149">
        <f>INDEX('Step 4 Stage Discharge'!E$26:F$126,MATCH(F109,'Step 4 Stage Discharge'!E$26:E$126,1),2)+(INDEX('Step 4 Stage Discharge'!E$26:F$126,MATCH(F109,'Step 4 Stage Discharge'!E$26:E$126,1)+1,2)-INDEX('Step 4 Stage Discharge'!E$26:F$126,MATCH(F109,'Step 4 Stage Discharge'!E$26:E$126,1),2))*(F109-INDEX('Step 4 Stage Discharge'!E$26:F$126,MATCH(F109,'Step 4 Stage Discharge'!E$26:E$126,1),1))/(INDEX('Step 4 Stage Discharge'!E$26:F$126,MATCH(F109,'Step 4 Stage Discharge'!E$26:E$126,1)+1,1)-INDEX('Step 4 Stage Discharge'!E$26:F$126,MATCH(F109,'Step 4 Stage Discharge'!E$26:E$126,1),1))</f>
        <v>7.5898179872735644E-2</v>
      </c>
      <c r="H109" s="149"/>
      <c r="I109" s="149">
        <f>INDEX('Step 4 Stage Discharge'!E$26:M$126,MATCH(F109,'Step 4 Stage Discharge'!E$26:E$126,1),9)+(INDEX('Step 4 Stage Discharge'!E$26:M$126,MATCH('Step 5 Routing'!F109,'Step 4 Stage Discharge'!E$26:E$126,1)+1,9)-INDEX('Step 4 Stage Discharge'!E$26:M$126,MATCH('Step 5 Routing'!F109,'Step 4 Stage Discharge'!E$26:E$126,1),9))*('Step 5 Routing'!F109-INDEX('Step 4 Stage Discharge'!E$26:M$126,MATCH('Step 5 Routing'!F109,'Step 4 Stage Discharge'!E$26:E$126,1),1))/(INDEX('Step 4 Stage Discharge'!E$26:M$126,MATCH('Step 5 Routing'!F109,'Step 4 Stage Discharge'!E$26:E$126,1)+1,1)-INDEX('Step 4 Stage Discharge'!E$26:M$126,MATCH('Step 5 Routing'!F109,'Step 4 Stage Discharge'!E$26:E$126,1),1))</f>
        <v>1.5813828110107869E-2</v>
      </c>
      <c r="J109" s="149"/>
      <c r="K109" s="6">
        <f t="shared" si="6"/>
        <v>0.94882968660647216</v>
      </c>
      <c r="L109" s="6">
        <f t="shared" si="7"/>
        <v>29.033987290319018</v>
      </c>
    </row>
    <row r="110" spans="1:12">
      <c r="A110">
        <f t="shared" si="8"/>
        <v>97</v>
      </c>
      <c r="B110" s="136">
        <f>IF(C$5=Data!D$3,'Step 2 Inflow Hydrograph'!H154,IF(C$5=Data!D$4,'Step 2 Inflow Hydrograph'!I154,IF(C$5=Data!D$5,'Step 2 Inflow Hydrograph'!J154,'Step 2 Inflow Hydrograph'!K154)))</f>
        <v>0</v>
      </c>
      <c r="C110" s="127"/>
      <c r="D110" s="6">
        <f t="shared" si="5"/>
        <v>0</v>
      </c>
      <c r="E110" s="6"/>
      <c r="F110" s="6">
        <f t="shared" si="9"/>
        <v>29.033987290319018</v>
      </c>
      <c r="G110" s="149">
        <f>INDEX('Step 4 Stage Discharge'!E$26:F$126,MATCH(F110,'Step 4 Stage Discharge'!E$26:E$126,1),2)+(INDEX('Step 4 Stage Discharge'!E$26:F$126,MATCH(F110,'Step 4 Stage Discharge'!E$26:E$126,1)+1,2)-INDEX('Step 4 Stage Discharge'!E$26:F$126,MATCH(F110,'Step 4 Stage Discharge'!E$26:E$126,1),2))*(F110-INDEX('Step 4 Stage Discharge'!E$26:F$126,MATCH(F110,'Step 4 Stage Discharge'!E$26:E$126,1),1))/(INDEX('Step 4 Stage Discharge'!E$26:F$126,MATCH(F110,'Step 4 Stage Discharge'!E$26:E$126,1)+1,1)-INDEX('Step 4 Stage Discharge'!E$26:F$126,MATCH(F110,'Step 4 Stage Discharge'!E$26:E$126,1),1))</f>
        <v>7.3496322626364463E-2</v>
      </c>
      <c r="H110" s="149"/>
      <c r="I110" s="149">
        <f>INDEX('Step 4 Stage Discharge'!E$26:M$126,MATCH(F110,'Step 4 Stage Discharge'!E$26:E$126,1),9)+(INDEX('Step 4 Stage Discharge'!E$26:M$126,MATCH('Step 5 Routing'!F110,'Step 4 Stage Discharge'!E$26:E$126,1)+1,9)-INDEX('Step 4 Stage Discharge'!E$26:M$126,MATCH('Step 5 Routing'!F110,'Step 4 Stage Discharge'!E$26:E$126,1),9))*('Step 5 Routing'!F110-INDEX('Step 4 Stage Discharge'!E$26:M$126,MATCH('Step 5 Routing'!F110,'Step 4 Stage Discharge'!E$26:E$126,1),1))/(INDEX('Step 4 Stage Discharge'!E$26:M$126,MATCH('Step 5 Routing'!F110,'Step 4 Stage Discharge'!E$26:E$126,1)+1,1)-INDEX('Step 4 Stage Discharge'!E$26:M$126,MATCH('Step 5 Routing'!F110,'Step 4 Stage Discharge'!E$26:E$126,1),1))</f>
        <v>1.5451487548619448E-2</v>
      </c>
      <c r="J110" s="149"/>
      <c r="K110" s="6">
        <f t="shared" si="6"/>
        <v>0.92708925291716693</v>
      </c>
      <c r="L110" s="6">
        <f t="shared" si="7"/>
        <v>28.106898037401852</v>
      </c>
    </row>
    <row r="111" spans="1:12">
      <c r="A111">
        <f t="shared" si="8"/>
        <v>98</v>
      </c>
      <c r="B111" s="136">
        <f>IF(C$5=Data!D$3,'Step 2 Inflow Hydrograph'!H155,IF(C$5=Data!D$4,'Step 2 Inflow Hydrograph'!I155,IF(C$5=Data!D$5,'Step 2 Inflow Hydrograph'!J155,'Step 2 Inflow Hydrograph'!K155)))</f>
        <v>0</v>
      </c>
      <c r="C111" s="127"/>
      <c r="D111" s="6">
        <f t="shared" si="5"/>
        <v>0</v>
      </c>
      <c r="E111" s="6"/>
      <c r="F111" s="6">
        <f t="shared" si="9"/>
        <v>28.106898037401852</v>
      </c>
      <c r="G111" s="149">
        <f>INDEX('Step 4 Stage Discharge'!E$26:F$126,MATCH(F111,'Step 4 Stage Discharge'!E$26:E$126,1),2)+(INDEX('Step 4 Stage Discharge'!E$26:F$126,MATCH(F111,'Step 4 Stage Discharge'!E$26:E$126,1)+1,2)-INDEX('Step 4 Stage Discharge'!E$26:F$126,MATCH(F111,'Step 4 Stage Discharge'!E$26:E$126,1),2))*(F111-INDEX('Step 4 Stage Discharge'!E$26:F$126,MATCH(F111,'Step 4 Stage Discharge'!E$26:E$126,1),1))/(INDEX('Step 4 Stage Discharge'!E$26:F$126,MATCH(F111,'Step 4 Stage Discharge'!E$26:E$126,1)+1,1)-INDEX('Step 4 Stage Discharge'!E$26:F$126,MATCH(F111,'Step 4 Stage Discharge'!E$26:E$126,1),1))</f>
        <v>7.1149498879611819E-2</v>
      </c>
      <c r="H111" s="149"/>
      <c r="I111" s="149">
        <f>INDEX('Step 4 Stage Discharge'!E$26:M$126,MATCH(F111,'Step 4 Stage Discharge'!E$26:E$126,1),9)+(INDEX('Step 4 Stage Discharge'!E$26:M$126,MATCH('Step 5 Routing'!F111,'Step 4 Stage Discharge'!E$26:E$126,1)+1,9)-INDEX('Step 4 Stage Discharge'!E$26:M$126,MATCH('Step 5 Routing'!F111,'Step 4 Stage Discharge'!E$26:E$126,1),9))*('Step 5 Routing'!F111-INDEX('Step 4 Stage Discharge'!E$26:M$126,MATCH('Step 5 Routing'!F111,'Step 4 Stage Discharge'!E$26:E$126,1),1))/(INDEX('Step 4 Stage Discharge'!E$26:M$126,MATCH('Step 5 Routing'!F111,'Step 4 Stage Discharge'!E$26:E$126,1)+1,1)-INDEX('Step 4 Stage Discharge'!E$26:M$126,MATCH('Step 5 Routing'!F111,'Step 4 Stage Discharge'!E$26:E$126,1),1))</f>
        <v>1.5097449257876958E-2</v>
      </c>
      <c r="J111" s="149"/>
      <c r="K111" s="6">
        <f t="shared" si="6"/>
        <v>0.90584695547261751</v>
      </c>
      <c r="L111" s="6">
        <f t="shared" si="7"/>
        <v>27.201051081929233</v>
      </c>
    </row>
    <row r="112" spans="1:12">
      <c r="A112">
        <f t="shared" si="8"/>
        <v>99</v>
      </c>
      <c r="B112" s="136">
        <f>IF(C$5=Data!D$3,'Step 2 Inflow Hydrograph'!H156,IF(C$5=Data!D$4,'Step 2 Inflow Hydrograph'!I156,IF(C$5=Data!D$5,'Step 2 Inflow Hydrograph'!J156,'Step 2 Inflow Hydrograph'!K156)))</f>
        <v>0</v>
      </c>
      <c r="C112" s="127"/>
      <c r="D112" s="6">
        <f t="shared" si="5"/>
        <v>0</v>
      </c>
      <c r="E112" s="6"/>
      <c r="F112" s="6">
        <f t="shared" si="9"/>
        <v>27.201051081929233</v>
      </c>
      <c r="G112" s="149">
        <f>INDEX('Step 4 Stage Discharge'!E$26:F$126,MATCH(F112,'Step 4 Stage Discharge'!E$26:E$126,1),2)+(INDEX('Step 4 Stage Discharge'!E$26:F$126,MATCH(F112,'Step 4 Stage Discharge'!E$26:E$126,1)+1,2)-INDEX('Step 4 Stage Discharge'!E$26:F$126,MATCH(F112,'Step 4 Stage Discharge'!E$26:E$126,1),2))*(F112-INDEX('Step 4 Stage Discharge'!E$26:F$126,MATCH(F112,'Step 4 Stage Discharge'!E$26:E$126,1),1))/(INDEX('Step 4 Stage Discharge'!E$26:F$126,MATCH(F112,'Step 4 Stage Discharge'!E$26:E$126,1)+1,1)-INDEX('Step 4 Stage Discharge'!E$26:F$126,MATCH(F112,'Step 4 Stage Discharge'!E$26:E$126,1),1))</f>
        <v>6.8856447655754424E-2</v>
      </c>
      <c r="H112" s="149"/>
      <c r="I112" s="149">
        <f>INDEX('Step 4 Stage Discharge'!E$26:M$126,MATCH(F112,'Step 4 Stage Discharge'!E$26:E$126,1),9)+(INDEX('Step 4 Stage Discharge'!E$26:M$126,MATCH('Step 5 Routing'!F112,'Step 4 Stage Discharge'!E$26:E$126,1)+1,9)-INDEX('Step 4 Stage Discharge'!E$26:M$126,MATCH('Step 5 Routing'!F112,'Step 4 Stage Discharge'!E$26:E$126,1),9))*('Step 5 Routing'!F112-INDEX('Step 4 Stage Discharge'!E$26:M$126,MATCH('Step 5 Routing'!F112,'Step 4 Stage Discharge'!E$26:E$126,1),1))/(INDEX('Step 4 Stage Discharge'!E$26:M$126,MATCH('Step 5 Routing'!F112,'Step 4 Stage Discharge'!E$26:E$126,1)+1,1)-INDEX('Step 4 Stage Discharge'!E$26:M$126,MATCH('Step 5 Routing'!F112,'Step 4 Stage Discharge'!E$26:E$126,1),1))</f>
        <v>1.4751523008833849E-2</v>
      </c>
      <c r="J112" s="149"/>
      <c r="K112" s="6">
        <f t="shared" si="6"/>
        <v>0.885091380530031</v>
      </c>
      <c r="L112" s="6">
        <f t="shared" si="7"/>
        <v>26.315959701399201</v>
      </c>
    </row>
    <row r="113" spans="1:12">
      <c r="A113">
        <f t="shared" si="8"/>
        <v>100</v>
      </c>
      <c r="B113" s="136">
        <f>IF(C$5=Data!D$3,'Step 2 Inflow Hydrograph'!H157,IF(C$5=Data!D$4,'Step 2 Inflow Hydrograph'!I157,IF(C$5=Data!D$5,'Step 2 Inflow Hydrograph'!J157,'Step 2 Inflow Hydrograph'!K157)))</f>
        <v>0</v>
      </c>
      <c r="C113" s="127"/>
      <c r="D113" s="6">
        <f t="shared" si="5"/>
        <v>0</v>
      </c>
      <c r="E113" s="6"/>
      <c r="F113" s="6">
        <f t="shared" si="9"/>
        <v>26.315959701399201</v>
      </c>
      <c r="G113" s="149">
        <f>INDEX('Step 4 Stage Discharge'!E$26:F$126,MATCH(F113,'Step 4 Stage Discharge'!E$26:E$126,1),2)+(INDEX('Step 4 Stage Discharge'!E$26:F$126,MATCH(F113,'Step 4 Stage Discharge'!E$26:E$126,1)+1,2)-INDEX('Step 4 Stage Discharge'!E$26:F$126,MATCH(F113,'Step 4 Stage Discharge'!E$26:E$126,1),2))*(F113-INDEX('Step 4 Stage Discharge'!E$26:F$126,MATCH(F113,'Step 4 Stage Discharge'!E$26:E$126,1),1))/(INDEX('Step 4 Stage Discharge'!E$26:F$126,MATCH(F113,'Step 4 Stage Discharge'!E$26:E$126,1)+1,1)-INDEX('Step 4 Stage Discharge'!E$26:F$126,MATCH(F113,'Step 4 Stage Discharge'!E$26:E$126,1),1))</f>
        <v>6.6615936870694614E-2</v>
      </c>
      <c r="H113" s="149"/>
      <c r="I113" s="149">
        <f>INDEX('Step 4 Stage Discharge'!E$26:M$126,MATCH(F113,'Step 4 Stage Discharge'!E$26:E$126,1),9)+(INDEX('Step 4 Stage Discharge'!E$26:M$126,MATCH('Step 5 Routing'!F113,'Step 4 Stage Discharge'!E$26:E$126,1)+1,9)-INDEX('Step 4 Stage Discharge'!E$26:M$126,MATCH('Step 5 Routing'!F113,'Step 4 Stage Discharge'!E$26:E$126,1),9))*('Step 5 Routing'!F113-INDEX('Step 4 Stage Discharge'!E$26:M$126,MATCH('Step 5 Routing'!F113,'Step 4 Stage Discharge'!E$26:E$126,1),1))/(INDEX('Step 4 Stage Discharge'!E$26:M$126,MATCH('Step 5 Routing'!F113,'Step 4 Stage Discharge'!E$26:E$126,1)+1,1)-INDEX('Step 4 Stage Discharge'!E$26:M$126,MATCH('Step 5 Routing'!F113,'Step 4 Stage Discharge'!E$26:E$126,1),1))</f>
        <v>1.4413522931141478E-2</v>
      </c>
      <c r="J113" s="149"/>
      <c r="K113" s="6">
        <f t="shared" si="6"/>
        <v>0.86481137586848866</v>
      </c>
      <c r="L113" s="6">
        <f t="shared" si="7"/>
        <v>25.451148325530713</v>
      </c>
    </row>
    <row r="114" spans="1:12">
      <c r="A114">
        <f t="shared" si="8"/>
        <v>101</v>
      </c>
      <c r="B114" s="136">
        <f>IF(C$5=Data!D$3,'Step 2 Inflow Hydrograph'!H158,IF(C$5=Data!D$4,'Step 2 Inflow Hydrograph'!I158,IF(C$5=Data!D$5,'Step 2 Inflow Hydrograph'!J158,'Step 2 Inflow Hydrograph'!K158)))</f>
        <v>0</v>
      </c>
      <c r="C114" s="127"/>
      <c r="D114" s="6">
        <f t="shared" si="5"/>
        <v>0</v>
      </c>
      <c r="E114" s="6"/>
      <c r="F114" s="6">
        <f t="shared" si="9"/>
        <v>25.451148325530713</v>
      </c>
      <c r="G114" s="149">
        <f>INDEX('Step 4 Stage Discharge'!E$26:F$126,MATCH(F114,'Step 4 Stage Discharge'!E$26:E$126,1),2)+(INDEX('Step 4 Stage Discharge'!E$26:F$126,MATCH(F114,'Step 4 Stage Discharge'!E$26:E$126,1)+1,2)-INDEX('Step 4 Stage Discharge'!E$26:F$126,MATCH(F114,'Step 4 Stage Discharge'!E$26:E$126,1),2))*(F114-INDEX('Step 4 Stage Discharge'!E$26:F$126,MATCH(F114,'Step 4 Stage Discharge'!E$26:E$126,1),1))/(INDEX('Step 4 Stage Discharge'!E$26:F$126,MATCH(F114,'Step 4 Stage Discharge'!E$26:E$126,1)+1,1)-INDEX('Step 4 Stage Discharge'!E$26:F$126,MATCH(F114,'Step 4 Stage Discharge'!E$26:E$126,1),1))</f>
        <v>6.4426762670946519E-2</v>
      </c>
      <c r="H114" s="149"/>
      <c r="I114" s="149">
        <f>INDEX('Step 4 Stage Discharge'!E$26:M$126,MATCH(F114,'Step 4 Stage Discharge'!E$26:E$126,1),9)+(INDEX('Step 4 Stage Discharge'!E$26:M$126,MATCH('Step 5 Routing'!F114,'Step 4 Stage Discharge'!E$26:E$126,1)+1,9)-INDEX('Step 4 Stage Discharge'!E$26:M$126,MATCH('Step 5 Routing'!F114,'Step 4 Stage Discharge'!E$26:E$126,1),9))*('Step 5 Routing'!F114-INDEX('Step 4 Stage Discharge'!E$26:M$126,MATCH('Step 5 Routing'!F114,'Step 4 Stage Discharge'!E$26:E$126,1),1))/(INDEX('Step 4 Stage Discharge'!E$26:M$126,MATCH('Step 5 Routing'!F114,'Step 4 Stage Discharge'!E$26:E$126,1)+1,1)-INDEX('Step 4 Stage Discharge'!E$26:M$126,MATCH('Step 5 Routing'!F114,'Step 4 Stage Discharge'!E$26:E$126,1),1))</f>
        <v>1.4083267413278738E-2</v>
      </c>
      <c r="J114" s="149"/>
      <c r="K114" s="6">
        <f t="shared" si="6"/>
        <v>0.8449960447967243</v>
      </c>
      <c r="L114" s="6">
        <f t="shared" si="7"/>
        <v>24.606152280733991</v>
      </c>
    </row>
    <row r="115" spans="1:12">
      <c r="A115">
        <f t="shared" si="8"/>
        <v>102</v>
      </c>
      <c r="B115" s="136">
        <f>IF(C$5=Data!D$3,'Step 2 Inflow Hydrograph'!H159,IF(C$5=Data!D$4,'Step 2 Inflow Hydrograph'!I159,IF(C$5=Data!D$5,'Step 2 Inflow Hydrograph'!J159,'Step 2 Inflow Hydrograph'!K159)))</f>
        <v>0</v>
      </c>
      <c r="C115" s="127"/>
      <c r="D115" s="6">
        <f t="shared" si="5"/>
        <v>0</v>
      </c>
      <c r="E115" s="6"/>
      <c r="F115" s="6">
        <f t="shared" si="9"/>
        <v>24.606152280733991</v>
      </c>
      <c r="G115" s="149">
        <f>INDEX('Step 4 Stage Discharge'!E$26:F$126,MATCH(F115,'Step 4 Stage Discharge'!E$26:E$126,1),2)+(INDEX('Step 4 Stage Discharge'!E$26:F$126,MATCH(F115,'Step 4 Stage Discharge'!E$26:E$126,1)+1,2)-INDEX('Step 4 Stage Discharge'!E$26:F$126,MATCH(F115,'Step 4 Stage Discharge'!E$26:E$126,1),2))*(F115-INDEX('Step 4 Stage Discharge'!E$26:F$126,MATCH(F115,'Step 4 Stage Discharge'!E$26:E$126,1),1))/(INDEX('Step 4 Stage Discharge'!E$26:F$126,MATCH(F115,'Step 4 Stage Discharge'!E$26:E$126,1)+1,1)-INDEX('Step 4 Stage Discharge'!E$26:F$126,MATCH(F115,'Step 4 Stage Discharge'!E$26:E$126,1),1))</f>
        <v>6.2287748786791178E-2</v>
      </c>
      <c r="H115" s="149"/>
      <c r="I115" s="149">
        <f>INDEX('Step 4 Stage Discharge'!E$26:M$126,MATCH(F115,'Step 4 Stage Discharge'!E$26:E$126,1),9)+(INDEX('Step 4 Stage Discharge'!E$26:M$126,MATCH('Step 5 Routing'!F115,'Step 4 Stage Discharge'!E$26:E$126,1)+1,9)-INDEX('Step 4 Stage Discharge'!E$26:M$126,MATCH('Step 5 Routing'!F115,'Step 4 Stage Discharge'!E$26:E$126,1),9))*('Step 5 Routing'!F115-INDEX('Step 4 Stage Discharge'!E$26:M$126,MATCH('Step 5 Routing'!F115,'Step 4 Stage Discharge'!E$26:E$126,1),1))/(INDEX('Step 4 Stage Discharge'!E$26:M$126,MATCH('Step 5 Routing'!F115,'Step 4 Stage Discharge'!E$26:E$126,1)+1,1)-INDEX('Step 4 Stage Discharge'!E$26:M$126,MATCH('Step 5 Routing'!F115,'Step 4 Stage Discharge'!E$26:E$126,1),1))</f>
        <v>1.3760579004969981E-2</v>
      </c>
      <c r="J115" s="149"/>
      <c r="K115" s="6">
        <f t="shared" si="6"/>
        <v>0.82563474029819883</v>
      </c>
      <c r="L115" s="6">
        <f t="shared" si="7"/>
        <v>23.780517540435792</v>
      </c>
    </row>
    <row r="116" spans="1:12">
      <c r="A116">
        <f t="shared" si="8"/>
        <v>103</v>
      </c>
      <c r="B116" s="136">
        <f>IF(C$5=Data!D$3,'Step 2 Inflow Hydrograph'!H160,IF(C$5=Data!D$4,'Step 2 Inflow Hydrograph'!I160,IF(C$5=Data!D$5,'Step 2 Inflow Hydrograph'!J160,'Step 2 Inflow Hydrograph'!K160)))</f>
        <v>0</v>
      </c>
      <c r="C116" s="127"/>
      <c r="D116" s="6">
        <f t="shared" si="5"/>
        <v>0</v>
      </c>
      <c r="E116" s="6"/>
      <c r="F116" s="6">
        <f t="shared" si="9"/>
        <v>23.780517540435792</v>
      </c>
      <c r="G116" s="149">
        <f>INDEX('Step 4 Stage Discharge'!E$26:F$126,MATCH(F116,'Step 4 Stage Discharge'!E$26:E$126,1),2)+(INDEX('Step 4 Stage Discharge'!E$26:F$126,MATCH(F116,'Step 4 Stage Discharge'!E$26:E$126,1)+1,2)-INDEX('Step 4 Stage Discharge'!E$26:F$126,MATCH(F116,'Step 4 Stage Discharge'!E$26:E$126,1),2))*(F116-INDEX('Step 4 Stage Discharge'!E$26:F$126,MATCH(F116,'Step 4 Stage Discharge'!E$26:E$126,1),1))/(INDEX('Step 4 Stage Discharge'!E$26:F$126,MATCH(F116,'Step 4 Stage Discharge'!E$26:E$126,1)+1,1)-INDEX('Step 4 Stage Discharge'!E$26:F$126,MATCH(F116,'Step 4 Stage Discharge'!E$26:E$126,1),1))</f>
        <v>6.0197745900252606E-2</v>
      </c>
      <c r="H116" s="149"/>
      <c r="I116" s="149">
        <f>INDEX('Step 4 Stage Discharge'!E$26:M$126,MATCH(F116,'Step 4 Stage Discharge'!E$26:E$126,1),9)+(INDEX('Step 4 Stage Discharge'!E$26:M$126,MATCH('Step 5 Routing'!F116,'Step 4 Stage Discharge'!E$26:E$126,1)+1,9)-INDEX('Step 4 Stage Discharge'!E$26:M$126,MATCH('Step 5 Routing'!F116,'Step 4 Stage Discharge'!E$26:E$126,1),9))*('Step 5 Routing'!F116-INDEX('Step 4 Stage Discharge'!E$26:M$126,MATCH('Step 5 Routing'!F116,'Step 4 Stage Discharge'!E$26:E$126,1),1))/(INDEX('Step 4 Stage Discharge'!E$26:M$126,MATCH('Step 5 Routing'!F116,'Step 4 Stage Discharge'!E$26:E$126,1)+1,1)-INDEX('Step 4 Stage Discharge'!E$26:M$126,MATCH('Step 5 Routing'!F116,'Step 4 Stage Discharge'!E$26:E$126,1),1))</f>
        <v>1.3445284321838849E-2</v>
      </c>
      <c r="J116" s="149"/>
      <c r="K116" s="6">
        <f t="shared" si="6"/>
        <v>0.806717059310331</v>
      </c>
      <c r="L116" s="6">
        <f t="shared" si="7"/>
        <v>22.973800481125462</v>
      </c>
    </row>
    <row r="117" spans="1:12">
      <c r="A117">
        <f t="shared" si="8"/>
        <v>104</v>
      </c>
      <c r="B117" s="136">
        <f>IF(C$5=Data!D$3,'Step 2 Inflow Hydrograph'!H161,IF(C$5=Data!D$4,'Step 2 Inflow Hydrograph'!I161,IF(C$5=Data!D$5,'Step 2 Inflow Hydrograph'!J161,'Step 2 Inflow Hydrograph'!K161)))</f>
        <v>0</v>
      </c>
      <c r="C117" s="127"/>
      <c r="D117" s="6">
        <f t="shared" si="5"/>
        <v>0</v>
      </c>
      <c r="E117" s="6"/>
      <c r="F117" s="6">
        <f t="shared" si="9"/>
        <v>22.973800481125462</v>
      </c>
      <c r="G117" s="149">
        <f>INDEX('Step 4 Stage Discharge'!E$26:F$126,MATCH(F117,'Step 4 Stage Discharge'!E$26:E$126,1),2)+(INDEX('Step 4 Stage Discharge'!E$26:F$126,MATCH(F117,'Step 4 Stage Discharge'!E$26:E$126,1)+1,2)-INDEX('Step 4 Stage Discharge'!E$26:F$126,MATCH(F117,'Step 4 Stage Discharge'!E$26:E$126,1),2))*(F117-INDEX('Step 4 Stage Discharge'!E$26:F$126,MATCH(F117,'Step 4 Stage Discharge'!E$26:E$126,1),1))/(INDEX('Step 4 Stage Discharge'!E$26:F$126,MATCH(F117,'Step 4 Stage Discharge'!E$26:E$126,1)+1,1)-INDEX('Step 4 Stage Discharge'!E$26:F$126,MATCH(F117,'Step 4 Stage Discharge'!E$26:E$126,1),1))</f>
        <v>5.8155631027555339E-2</v>
      </c>
      <c r="H117" s="149"/>
      <c r="I117" s="149">
        <f>INDEX('Step 4 Stage Discharge'!E$26:M$126,MATCH(F117,'Step 4 Stage Discharge'!E$26:E$126,1),9)+(INDEX('Step 4 Stage Discharge'!E$26:M$126,MATCH('Step 5 Routing'!F117,'Step 4 Stage Discharge'!E$26:E$126,1)+1,9)-INDEX('Step 4 Stage Discharge'!E$26:M$126,MATCH('Step 5 Routing'!F117,'Step 4 Stage Discharge'!E$26:E$126,1),9))*('Step 5 Routing'!F117-INDEX('Step 4 Stage Discharge'!E$26:M$126,MATCH('Step 5 Routing'!F117,'Step 4 Stage Discharge'!E$26:E$126,1),1))/(INDEX('Step 4 Stage Discharge'!E$26:M$126,MATCH('Step 5 Routing'!F117,'Step 4 Stage Discharge'!E$26:E$126,1)+1,1)-INDEX('Step 4 Stage Discharge'!E$26:M$126,MATCH('Step 5 Routing'!F117,'Step 4 Stage Discharge'!E$26:E$126,1),1))</f>
        <v>1.3137213952246769E-2</v>
      </c>
      <c r="J117" s="149"/>
      <c r="K117" s="6">
        <f t="shared" si="6"/>
        <v>0.78823283713480619</v>
      </c>
      <c r="L117" s="6">
        <f t="shared" si="7"/>
        <v>22.185567643990655</v>
      </c>
    </row>
    <row r="118" spans="1:12">
      <c r="A118">
        <f t="shared" si="8"/>
        <v>105</v>
      </c>
      <c r="B118" s="136">
        <f>IF(C$5=Data!D$3,'Step 2 Inflow Hydrograph'!H162,IF(C$5=Data!D$4,'Step 2 Inflow Hydrograph'!I162,IF(C$5=Data!D$5,'Step 2 Inflow Hydrograph'!J162,'Step 2 Inflow Hydrograph'!K162)))</f>
        <v>0</v>
      </c>
      <c r="C118" s="127"/>
      <c r="D118" s="6">
        <f t="shared" si="5"/>
        <v>0</v>
      </c>
      <c r="E118" s="6"/>
      <c r="F118" s="6">
        <f t="shared" si="9"/>
        <v>22.185567643990655</v>
      </c>
      <c r="G118" s="149">
        <f>INDEX('Step 4 Stage Discharge'!E$26:F$126,MATCH(F118,'Step 4 Stage Discharge'!E$26:E$126,1),2)+(INDEX('Step 4 Stage Discharge'!E$26:F$126,MATCH(F118,'Step 4 Stage Discharge'!E$26:E$126,1)+1,2)-INDEX('Step 4 Stage Discharge'!E$26:F$126,MATCH(F118,'Step 4 Stage Discharge'!E$26:E$126,1),2))*(F118-INDEX('Step 4 Stage Discharge'!E$26:F$126,MATCH(F118,'Step 4 Stage Discharge'!E$26:E$126,1),1))/(INDEX('Step 4 Stage Discharge'!E$26:F$126,MATCH(F118,'Step 4 Stage Discharge'!E$26:E$126,1)+1,1)-INDEX('Step 4 Stage Discharge'!E$26:F$126,MATCH(F118,'Step 4 Stage Discharge'!E$26:E$126,1),1))</f>
        <v>5.6160306915731713E-2</v>
      </c>
      <c r="H118" s="149"/>
      <c r="I118" s="149">
        <f>INDEX('Step 4 Stage Discharge'!E$26:M$126,MATCH(F118,'Step 4 Stage Discharge'!E$26:E$126,1),9)+(INDEX('Step 4 Stage Discharge'!E$26:M$126,MATCH('Step 5 Routing'!F118,'Step 4 Stage Discharge'!E$26:E$126,1)+1,9)-INDEX('Step 4 Stage Discharge'!E$26:M$126,MATCH('Step 5 Routing'!F118,'Step 4 Stage Discharge'!E$26:E$126,1),9))*('Step 5 Routing'!F118-INDEX('Step 4 Stage Discharge'!E$26:M$126,MATCH('Step 5 Routing'!F118,'Step 4 Stage Discharge'!E$26:E$126,1),1))/(INDEX('Step 4 Stage Discharge'!E$26:M$126,MATCH('Step 5 Routing'!F118,'Step 4 Stage Discharge'!E$26:E$126,1)+1,1)-INDEX('Step 4 Stage Discharge'!E$26:M$126,MATCH('Step 5 Routing'!F118,'Step 4 Stage Discharge'!E$26:E$126,1),1))</f>
        <v>1.2836202366266015E-2</v>
      </c>
      <c r="J118" s="149"/>
      <c r="K118" s="6">
        <f t="shared" si="6"/>
        <v>0.77017214197596096</v>
      </c>
      <c r="L118" s="6">
        <f t="shared" si="7"/>
        <v>21.415395502014693</v>
      </c>
    </row>
    <row r="119" spans="1:12">
      <c r="A119">
        <f t="shared" si="8"/>
        <v>106</v>
      </c>
      <c r="B119" s="136">
        <f>IF(C$5=Data!D$3,'Step 2 Inflow Hydrograph'!H163,IF(C$5=Data!D$4,'Step 2 Inflow Hydrograph'!I163,IF(C$5=Data!D$5,'Step 2 Inflow Hydrograph'!J163,'Step 2 Inflow Hydrograph'!K163)))</f>
        <v>0</v>
      </c>
      <c r="C119" s="127"/>
      <c r="D119" s="6">
        <f t="shared" si="5"/>
        <v>0</v>
      </c>
      <c r="E119" s="6"/>
      <c r="F119" s="6">
        <f t="shared" si="9"/>
        <v>21.415395502014693</v>
      </c>
      <c r="G119" s="149">
        <f>INDEX('Step 4 Stage Discharge'!E$26:F$126,MATCH(F119,'Step 4 Stage Discharge'!E$26:E$126,1),2)+(INDEX('Step 4 Stage Discharge'!E$26:F$126,MATCH(F119,'Step 4 Stage Discharge'!E$26:E$126,1)+1,2)-INDEX('Step 4 Stage Discharge'!E$26:F$126,MATCH(F119,'Step 4 Stage Discharge'!E$26:E$126,1),2))*(F119-INDEX('Step 4 Stage Discharge'!E$26:F$126,MATCH(F119,'Step 4 Stage Discharge'!E$26:E$126,1),1))/(INDEX('Step 4 Stage Discharge'!E$26:F$126,MATCH(F119,'Step 4 Stage Discharge'!E$26:E$126,1)+1,1)-INDEX('Step 4 Stage Discharge'!E$26:F$126,MATCH(F119,'Step 4 Stage Discharge'!E$26:E$126,1),1))</f>
        <v>5.4210701453054608E-2</v>
      </c>
      <c r="H119" s="149"/>
      <c r="I119" s="149">
        <f>INDEX('Step 4 Stage Discharge'!E$26:M$126,MATCH(F119,'Step 4 Stage Discharge'!E$26:E$126,1),9)+(INDEX('Step 4 Stage Discharge'!E$26:M$126,MATCH('Step 5 Routing'!F119,'Step 4 Stage Discharge'!E$26:E$126,1)+1,9)-INDEX('Step 4 Stage Discharge'!E$26:M$126,MATCH('Step 5 Routing'!F119,'Step 4 Stage Discharge'!E$26:E$126,1),9))*('Step 5 Routing'!F119-INDEX('Step 4 Stage Discharge'!E$26:M$126,MATCH('Step 5 Routing'!F119,'Step 4 Stage Discharge'!E$26:E$126,1),1))/(INDEX('Step 4 Stage Discharge'!E$26:M$126,MATCH('Step 5 Routing'!F119,'Step 4 Stage Discharge'!E$26:E$126,1)+1,1)-INDEX('Step 4 Stage Discharge'!E$26:M$126,MATCH('Step 5 Routing'!F119,'Step 4 Stage Discharge'!E$26:E$126,1),1))</f>
        <v>1.2542087826738487E-2</v>
      </c>
      <c r="J119" s="149"/>
      <c r="K119" s="6">
        <f t="shared" si="6"/>
        <v>0.75252526960430921</v>
      </c>
      <c r="L119" s="6">
        <f t="shared" si="7"/>
        <v>20.662870232410384</v>
      </c>
    </row>
    <row r="120" spans="1:12">
      <c r="A120">
        <f t="shared" si="8"/>
        <v>107</v>
      </c>
      <c r="B120" s="136">
        <f>IF(C$5=Data!D$3,'Step 2 Inflow Hydrograph'!H164,IF(C$5=Data!D$4,'Step 2 Inflow Hydrograph'!I164,IF(C$5=Data!D$5,'Step 2 Inflow Hydrograph'!J164,'Step 2 Inflow Hydrograph'!K164)))</f>
        <v>0</v>
      </c>
      <c r="C120" s="127"/>
      <c r="D120" s="6">
        <f t="shared" si="5"/>
        <v>0</v>
      </c>
      <c r="E120" s="6"/>
      <c r="F120" s="6">
        <f t="shared" si="9"/>
        <v>20.662870232410384</v>
      </c>
      <c r="G120" s="149">
        <f>INDEX('Step 4 Stage Discharge'!E$26:F$126,MATCH(F120,'Step 4 Stage Discharge'!E$26:E$126,1),2)+(INDEX('Step 4 Stage Discharge'!E$26:F$126,MATCH(F120,'Step 4 Stage Discharge'!E$26:E$126,1)+1,2)-INDEX('Step 4 Stage Discharge'!E$26:F$126,MATCH(F120,'Step 4 Stage Discharge'!E$26:E$126,1),2))*(F120-INDEX('Step 4 Stage Discharge'!E$26:F$126,MATCH(F120,'Step 4 Stage Discharge'!E$26:E$126,1),1))/(INDEX('Step 4 Stage Discharge'!E$26:F$126,MATCH(F120,'Step 4 Stage Discharge'!E$26:E$126,1)+1,1)-INDEX('Step 4 Stage Discharge'!E$26:F$126,MATCH(F120,'Step 4 Stage Discharge'!E$26:E$126,1),1))</f>
        <v>5.2305767092978891E-2</v>
      </c>
      <c r="H120" s="149"/>
      <c r="I120" s="149">
        <f>INDEX('Step 4 Stage Discharge'!E$26:M$126,MATCH(F120,'Step 4 Stage Discharge'!E$26:E$126,1),9)+(INDEX('Step 4 Stage Discharge'!E$26:M$126,MATCH('Step 5 Routing'!F120,'Step 4 Stage Discharge'!E$26:E$126,1)+1,9)-INDEX('Step 4 Stage Discharge'!E$26:M$126,MATCH('Step 5 Routing'!F120,'Step 4 Stage Discharge'!E$26:E$126,1),9))*('Step 5 Routing'!F120-INDEX('Step 4 Stage Discharge'!E$26:M$126,MATCH('Step 5 Routing'!F120,'Step 4 Stage Discharge'!E$26:E$126,1),1))/(INDEX('Step 4 Stage Discharge'!E$26:M$126,MATCH('Step 5 Routing'!F120,'Step 4 Stage Discharge'!E$26:E$126,1)+1,1)-INDEX('Step 4 Stage Discharge'!E$26:M$126,MATCH('Step 5 Routing'!F120,'Step 4 Stage Discharge'!E$26:E$126,1),1))</f>
        <v>1.2254712302372392E-2</v>
      </c>
      <c r="J120" s="149"/>
      <c r="K120" s="6">
        <f t="shared" si="6"/>
        <v>0.73528273814234346</v>
      </c>
      <c r="L120" s="6">
        <f t="shared" si="7"/>
        <v>19.927587494268039</v>
      </c>
    </row>
    <row r="121" spans="1:12">
      <c r="A121">
        <f t="shared" si="8"/>
        <v>108</v>
      </c>
      <c r="B121" s="136">
        <f>IF(C$5=Data!D$3,'Step 2 Inflow Hydrograph'!H165,IF(C$5=Data!D$4,'Step 2 Inflow Hydrograph'!I165,IF(C$5=Data!D$5,'Step 2 Inflow Hydrograph'!J165,'Step 2 Inflow Hydrograph'!K165)))</f>
        <v>0</v>
      </c>
      <c r="C121" s="127"/>
      <c r="D121" s="6">
        <f t="shared" si="5"/>
        <v>0</v>
      </c>
      <c r="E121" s="6"/>
      <c r="F121" s="6">
        <f t="shared" si="9"/>
        <v>19.927587494268039</v>
      </c>
      <c r="G121" s="149">
        <f>INDEX('Step 4 Stage Discharge'!E$26:F$126,MATCH(F121,'Step 4 Stage Discharge'!E$26:E$126,1),2)+(INDEX('Step 4 Stage Discharge'!E$26:F$126,MATCH(F121,'Step 4 Stage Discharge'!E$26:E$126,1)+1,2)-INDEX('Step 4 Stage Discharge'!E$26:F$126,MATCH(F121,'Step 4 Stage Discharge'!E$26:E$126,1),2))*(F121-INDEX('Step 4 Stage Discharge'!E$26:F$126,MATCH(F121,'Step 4 Stage Discharge'!E$26:E$126,1),1))/(INDEX('Step 4 Stage Discharge'!E$26:F$126,MATCH(F121,'Step 4 Stage Discharge'!E$26:E$126,1)+1,1)-INDEX('Step 4 Stage Discharge'!E$26:F$126,MATCH(F121,'Step 4 Stage Discharge'!E$26:E$126,1),1))</f>
        <v>5.0444480291281991E-2</v>
      </c>
      <c r="H121" s="149"/>
      <c r="I121" s="149">
        <f>INDEX('Step 4 Stage Discharge'!E$26:M$126,MATCH(F121,'Step 4 Stage Discharge'!E$26:E$126,1),9)+(INDEX('Step 4 Stage Discharge'!E$26:M$126,MATCH('Step 5 Routing'!F121,'Step 4 Stage Discharge'!E$26:E$126,1)+1,9)-INDEX('Step 4 Stage Discharge'!E$26:M$126,MATCH('Step 5 Routing'!F121,'Step 4 Stage Discharge'!E$26:E$126,1),9))*('Step 5 Routing'!F121-INDEX('Step 4 Stage Discharge'!E$26:M$126,MATCH('Step 5 Routing'!F121,'Step 4 Stage Discharge'!E$26:E$126,1),1))/(INDEX('Step 4 Stage Discharge'!E$26:M$126,MATCH('Step 5 Routing'!F121,'Step 4 Stage Discharge'!E$26:E$126,1)+1,1)-INDEX('Step 4 Stage Discharge'!E$26:M$126,MATCH('Step 5 Routing'!F121,'Step 4 Stage Discharge'!E$26:E$126,1),1))</f>
        <v>1.1973921382830117E-2</v>
      </c>
      <c r="J121" s="149"/>
      <c r="K121" s="6">
        <f t="shared" si="6"/>
        <v>0.71843528296980697</v>
      </c>
      <c r="L121" s="6">
        <f t="shared" si="7"/>
        <v>19.209152211298232</v>
      </c>
    </row>
    <row r="122" spans="1:12">
      <c r="A122">
        <f t="shared" si="8"/>
        <v>109</v>
      </c>
      <c r="B122" s="136">
        <f>IF(C$5=Data!D$3,'Step 2 Inflow Hydrograph'!H166,IF(C$5=Data!D$4,'Step 2 Inflow Hydrograph'!I166,IF(C$5=Data!D$5,'Step 2 Inflow Hydrograph'!J166,'Step 2 Inflow Hydrograph'!K166)))</f>
        <v>0</v>
      </c>
      <c r="C122" s="127"/>
      <c r="D122" s="6">
        <f t="shared" si="5"/>
        <v>0</v>
      </c>
      <c r="E122" s="6"/>
      <c r="F122" s="6">
        <f t="shared" si="9"/>
        <v>19.209152211298232</v>
      </c>
      <c r="G122" s="149">
        <f>INDEX('Step 4 Stage Discharge'!E$26:F$126,MATCH(F122,'Step 4 Stage Discharge'!E$26:E$126,1),2)+(INDEX('Step 4 Stage Discharge'!E$26:F$126,MATCH(F122,'Step 4 Stage Discharge'!E$26:E$126,1)+1,2)-INDEX('Step 4 Stage Discharge'!E$26:F$126,MATCH(F122,'Step 4 Stage Discharge'!E$26:E$126,1),2))*(F122-INDEX('Step 4 Stage Discharge'!E$26:F$126,MATCH(F122,'Step 4 Stage Discharge'!E$26:E$126,1),1))/(INDEX('Step 4 Stage Discharge'!E$26:F$126,MATCH(F122,'Step 4 Stage Discharge'!E$26:E$126,1)+1,1)-INDEX('Step 4 Stage Discharge'!E$26:F$126,MATCH(F122,'Step 4 Stage Discharge'!E$26:E$126,1),1))</f>
        <v>4.8625840956101229E-2</v>
      </c>
      <c r="H122" s="149"/>
      <c r="I122" s="149">
        <f>INDEX('Step 4 Stage Discharge'!E$26:M$126,MATCH(F122,'Step 4 Stage Discharge'!E$26:E$126,1),9)+(INDEX('Step 4 Stage Discharge'!E$26:M$126,MATCH('Step 5 Routing'!F122,'Step 4 Stage Discharge'!E$26:E$126,1)+1,9)-INDEX('Step 4 Stage Discharge'!E$26:M$126,MATCH('Step 5 Routing'!F122,'Step 4 Stage Discharge'!E$26:E$126,1),9))*('Step 5 Routing'!F122-INDEX('Step 4 Stage Discharge'!E$26:M$126,MATCH('Step 5 Routing'!F122,'Step 4 Stage Discharge'!E$26:E$126,1),1))/(INDEX('Step 4 Stage Discharge'!E$26:M$126,MATCH('Step 5 Routing'!F122,'Step 4 Stage Discharge'!E$26:E$126,1)+1,1)-INDEX('Step 4 Stage Discharge'!E$26:M$126,MATCH('Step 5 Routing'!F122,'Step 4 Stage Discharge'!E$26:E$126,1),1))</f>
        <v>1.1699564195761684E-2</v>
      </c>
      <c r="J122" s="149"/>
      <c r="K122" s="6">
        <f t="shared" si="6"/>
        <v>0.70197385174570104</v>
      </c>
      <c r="L122" s="6">
        <f t="shared" si="7"/>
        <v>18.50717835955253</v>
      </c>
    </row>
    <row r="123" spans="1:12">
      <c r="A123">
        <f t="shared" si="8"/>
        <v>110</v>
      </c>
      <c r="B123" s="136">
        <f>IF(C$5=Data!D$3,'Step 2 Inflow Hydrograph'!H167,IF(C$5=Data!D$4,'Step 2 Inflow Hydrograph'!I167,IF(C$5=Data!D$5,'Step 2 Inflow Hydrograph'!J167,'Step 2 Inflow Hydrograph'!K167)))</f>
        <v>0</v>
      </c>
      <c r="C123" s="127"/>
      <c r="D123" s="6">
        <f t="shared" si="5"/>
        <v>0</v>
      </c>
      <c r="E123" s="6"/>
      <c r="F123" s="6">
        <f t="shared" si="9"/>
        <v>18.50717835955253</v>
      </c>
      <c r="G123" s="149">
        <f>INDEX('Step 4 Stage Discharge'!E$26:F$126,MATCH(F123,'Step 4 Stage Discharge'!E$26:E$126,1),2)+(INDEX('Step 4 Stage Discharge'!E$26:F$126,MATCH(F123,'Step 4 Stage Discharge'!E$26:E$126,1)+1,2)-INDEX('Step 4 Stage Discharge'!E$26:F$126,MATCH(F123,'Step 4 Stage Discharge'!E$26:E$126,1),2))*(F123-INDEX('Step 4 Stage Discharge'!E$26:F$126,MATCH(F123,'Step 4 Stage Discharge'!E$26:E$126,1),1))/(INDEX('Step 4 Stage Discharge'!E$26:F$126,MATCH(F123,'Step 4 Stage Discharge'!E$26:E$126,1)+1,1)-INDEX('Step 4 Stage Discharge'!E$26:F$126,MATCH(F123,'Step 4 Stage Discharge'!E$26:E$126,1),1))</f>
        <v>4.6848871910572416E-2</v>
      </c>
      <c r="H123" s="149"/>
      <c r="I123" s="149">
        <f>INDEX('Step 4 Stage Discharge'!E$26:M$126,MATCH(F123,'Step 4 Stage Discharge'!E$26:E$126,1),9)+(INDEX('Step 4 Stage Discharge'!E$26:M$126,MATCH('Step 5 Routing'!F123,'Step 4 Stage Discharge'!E$26:E$126,1)+1,9)-INDEX('Step 4 Stage Discharge'!E$26:M$126,MATCH('Step 5 Routing'!F123,'Step 4 Stage Discharge'!E$26:E$126,1),9))*('Step 5 Routing'!F123-INDEX('Step 4 Stage Discharge'!E$26:M$126,MATCH('Step 5 Routing'!F123,'Step 4 Stage Discharge'!E$26:E$126,1),1))/(INDEX('Step 4 Stage Discharge'!E$26:M$126,MATCH('Step 5 Routing'!F123,'Step 4 Stage Discharge'!E$26:E$126,1)+1,1)-INDEX('Step 4 Stage Discharge'!E$26:M$126,MATCH('Step 5 Routing'!F123,'Step 4 Stage Discharge'!E$26:E$126,1),1))</f>
        <v>1.1431493325739232E-2</v>
      </c>
      <c r="J123" s="149"/>
      <c r="K123" s="6">
        <f t="shared" si="6"/>
        <v>0.68588959954435391</v>
      </c>
      <c r="L123" s="6">
        <f t="shared" si="7"/>
        <v>17.821288760008176</v>
      </c>
    </row>
    <row r="124" spans="1:12">
      <c r="A124">
        <f t="shared" si="8"/>
        <v>111</v>
      </c>
      <c r="B124" s="136">
        <f>IF(C$5=Data!D$3,'Step 2 Inflow Hydrograph'!H168,IF(C$5=Data!D$4,'Step 2 Inflow Hydrograph'!I168,IF(C$5=Data!D$5,'Step 2 Inflow Hydrograph'!J168,'Step 2 Inflow Hydrograph'!K168)))</f>
        <v>0</v>
      </c>
      <c r="C124" s="127"/>
      <c r="D124" s="6">
        <f t="shared" si="5"/>
        <v>0</v>
      </c>
      <c r="E124" s="6"/>
      <c r="F124" s="6">
        <f t="shared" si="9"/>
        <v>17.821288760008176</v>
      </c>
      <c r="G124" s="149">
        <f>INDEX('Step 4 Stage Discharge'!E$26:F$126,MATCH(F124,'Step 4 Stage Discharge'!E$26:E$126,1),2)+(INDEX('Step 4 Stage Discharge'!E$26:F$126,MATCH(F124,'Step 4 Stage Discharge'!E$26:E$126,1)+1,2)-INDEX('Step 4 Stage Discharge'!E$26:F$126,MATCH(F124,'Step 4 Stage Discharge'!E$26:E$126,1),2))*(F124-INDEX('Step 4 Stage Discharge'!E$26:F$126,MATCH(F124,'Step 4 Stage Discharge'!E$26:E$126,1),1))/(INDEX('Step 4 Stage Discharge'!E$26:F$126,MATCH(F124,'Step 4 Stage Discharge'!E$26:E$126,1)+1,1)-INDEX('Step 4 Stage Discharge'!E$26:F$126,MATCH(F124,'Step 4 Stage Discharge'!E$26:E$126,1),1))</f>
        <v>4.5112618367780924E-2</v>
      </c>
      <c r="H124" s="149"/>
      <c r="I124" s="149">
        <f>INDEX('Step 4 Stage Discharge'!E$26:M$126,MATCH(F124,'Step 4 Stage Discharge'!E$26:E$126,1),9)+(INDEX('Step 4 Stage Discharge'!E$26:M$126,MATCH('Step 5 Routing'!F124,'Step 4 Stage Discharge'!E$26:E$126,1)+1,9)-INDEX('Step 4 Stage Discharge'!E$26:M$126,MATCH('Step 5 Routing'!F124,'Step 4 Stage Discharge'!E$26:E$126,1),9))*('Step 5 Routing'!F124-INDEX('Step 4 Stage Discharge'!E$26:M$126,MATCH('Step 5 Routing'!F124,'Step 4 Stage Discharge'!E$26:E$126,1),1))/(INDEX('Step 4 Stage Discharge'!E$26:M$126,MATCH('Step 5 Routing'!F124,'Step 4 Stage Discharge'!E$26:E$126,1)+1,1)-INDEX('Step 4 Stage Discharge'!E$26:M$126,MATCH('Step 5 Routing'!F124,'Step 4 Stage Discharge'!E$26:E$126,1),1))</f>
        <v>1.1169564735048914E-2</v>
      </c>
      <c r="J124" s="149"/>
      <c r="K124" s="6">
        <f t="shared" si="6"/>
        <v>0.67017388410293488</v>
      </c>
      <c r="L124" s="6">
        <f t="shared" si="7"/>
        <v>17.151114875905243</v>
      </c>
    </row>
    <row r="125" spans="1:12">
      <c r="A125">
        <f t="shared" si="8"/>
        <v>112</v>
      </c>
      <c r="B125" s="136">
        <f>IF(C$5=Data!D$3,'Step 2 Inflow Hydrograph'!H169,IF(C$5=Data!D$4,'Step 2 Inflow Hydrograph'!I169,IF(C$5=Data!D$5,'Step 2 Inflow Hydrograph'!J169,'Step 2 Inflow Hydrograph'!K169)))</f>
        <v>0</v>
      </c>
      <c r="C125" s="127"/>
      <c r="D125" s="6">
        <f t="shared" si="5"/>
        <v>0</v>
      </c>
      <c r="E125" s="6"/>
      <c r="F125" s="6">
        <f t="shared" si="9"/>
        <v>17.151114875905243</v>
      </c>
      <c r="G125" s="149">
        <f>INDEX('Step 4 Stage Discharge'!E$26:F$126,MATCH(F125,'Step 4 Stage Discharge'!E$26:E$126,1),2)+(INDEX('Step 4 Stage Discharge'!E$26:F$126,MATCH(F125,'Step 4 Stage Discharge'!E$26:E$126,1)+1,2)-INDEX('Step 4 Stage Discharge'!E$26:F$126,MATCH(F125,'Step 4 Stage Discharge'!E$26:E$126,1),2))*(F125-INDEX('Step 4 Stage Discharge'!E$26:F$126,MATCH(F125,'Step 4 Stage Discharge'!E$26:E$126,1),1))/(INDEX('Step 4 Stage Discharge'!E$26:F$126,MATCH(F125,'Step 4 Stage Discharge'!E$26:E$126,1)+1,1)-INDEX('Step 4 Stage Discharge'!E$26:F$126,MATCH(F125,'Step 4 Stage Discharge'!E$26:E$126,1),1))</f>
        <v>4.341614741774312E-2</v>
      </c>
      <c r="H125" s="149"/>
      <c r="I125" s="149">
        <f>INDEX('Step 4 Stage Discharge'!E$26:M$126,MATCH(F125,'Step 4 Stage Discharge'!E$26:E$126,1),9)+(INDEX('Step 4 Stage Discharge'!E$26:M$126,MATCH('Step 5 Routing'!F125,'Step 4 Stage Discharge'!E$26:E$126,1)+1,9)-INDEX('Step 4 Stage Discharge'!E$26:M$126,MATCH('Step 5 Routing'!F125,'Step 4 Stage Discharge'!E$26:E$126,1),9))*('Step 5 Routing'!F125-INDEX('Step 4 Stage Discharge'!E$26:M$126,MATCH('Step 5 Routing'!F125,'Step 4 Stage Discharge'!E$26:E$126,1),1))/(INDEX('Step 4 Stage Discharge'!E$26:M$126,MATCH('Step 5 Routing'!F125,'Step 4 Stage Discharge'!E$26:E$126,1)+1,1)-INDEX('Step 4 Stage Discharge'!E$26:M$126,MATCH('Step 5 Routing'!F125,'Step 4 Stage Discharge'!E$26:E$126,1),1))</f>
        <v>1.09136376862977E-2</v>
      </c>
      <c r="J125" s="149"/>
      <c r="K125" s="6">
        <f t="shared" si="6"/>
        <v>0.65481826117786202</v>
      </c>
      <c r="L125" s="6">
        <f t="shared" si="7"/>
        <v>16.496296614727381</v>
      </c>
    </row>
    <row r="126" spans="1:12">
      <c r="A126">
        <f t="shared" si="8"/>
        <v>113</v>
      </c>
      <c r="B126" s="136">
        <f>IF(C$5=Data!D$3,'Step 2 Inflow Hydrograph'!H170,IF(C$5=Data!D$4,'Step 2 Inflow Hydrograph'!I170,IF(C$5=Data!D$5,'Step 2 Inflow Hydrograph'!J170,'Step 2 Inflow Hydrograph'!K170)))</f>
        <v>0</v>
      </c>
      <c r="C126" s="127"/>
      <c r="D126" s="6">
        <f t="shared" si="5"/>
        <v>0</v>
      </c>
      <c r="E126" s="6"/>
      <c r="F126" s="6">
        <f t="shared" si="9"/>
        <v>16.496296614727381</v>
      </c>
      <c r="G126" s="149">
        <f>INDEX('Step 4 Stage Discharge'!E$26:F$126,MATCH(F126,'Step 4 Stage Discharge'!E$26:E$126,1),2)+(INDEX('Step 4 Stage Discharge'!E$26:F$126,MATCH(F126,'Step 4 Stage Discharge'!E$26:E$126,1)+1,2)-INDEX('Step 4 Stage Discharge'!E$26:F$126,MATCH(F126,'Step 4 Stage Discharge'!E$26:E$126,1),2))*(F126-INDEX('Step 4 Stage Discharge'!E$26:F$126,MATCH(F126,'Step 4 Stage Discharge'!E$26:E$126,1),1))/(INDEX('Step 4 Stage Discharge'!E$26:F$126,MATCH(F126,'Step 4 Stage Discharge'!E$26:E$126,1)+1,1)-INDEX('Step 4 Stage Discharge'!E$26:F$126,MATCH(F126,'Step 4 Stage Discharge'!E$26:E$126,1),1))</f>
        <v>4.1758547526142616E-2</v>
      </c>
      <c r="H126" s="149"/>
      <c r="I126" s="149">
        <f>INDEX('Step 4 Stage Discharge'!E$26:M$126,MATCH(F126,'Step 4 Stage Discharge'!E$26:E$126,1),9)+(INDEX('Step 4 Stage Discharge'!E$26:M$126,MATCH('Step 5 Routing'!F126,'Step 4 Stage Discharge'!E$26:E$126,1)+1,9)-INDEX('Step 4 Stage Discharge'!E$26:M$126,MATCH('Step 5 Routing'!F126,'Step 4 Stage Discharge'!E$26:E$126,1),9))*('Step 5 Routing'!F126-INDEX('Step 4 Stage Discharge'!E$26:M$126,MATCH('Step 5 Routing'!F126,'Step 4 Stage Discharge'!E$26:E$126,1),1))/(INDEX('Step 4 Stage Discharge'!E$26:M$126,MATCH('Step 5 Routing'!F126,'Step 4 Stage Discharge'!E$26:E$126,1)+1,1)-INDEX('Step 4 Stage Discharge'!E$26:M$126,MATCH('Step 5 Routing'!F126,'Step 4 Stage Discharge'!E$26:E$126,1),1))</f>
        <v>1.0663574666793478E-2</v>
      </c>
      <c r="J126" s="149"/>
      <c r="K126" s="6">
        <f t="shared" si="6"/>
        <v>0.63981448000760865</v>
      </c>
      <c r="L126" s="6">
        <f t="shared" si="7"/>
        <v>15.856482134719773</v>
      </c>
    </row>
    <row r="127" spans="1:12">
      <c r="A127">
        <f t="shared" si="8"/>
        <v>114</v>
      </c>
      <c r="B127" s="136">
        <f>IF(C$5=Data!D$3,'Step 2 Inflow Hydrograph'!H171,IF(C$5=Data!D$4,'Step 2 Inflow Hydrograph'!I171,IF(C$5=Data!D$5,'Step 2 Inflow Hydrograph'!J171,'Step 2 Inflow Hydrograph'!K171)))</f>
        <v>0</v>
      </c>
      <c r="C127" s="127"/>
      <c r="D127" s="6">
        <f t="shared" si="5"/>
        <v>0</v>
      </c>
      <c r="E127" s="6"/>
      <c r="F127" s="6">
        <f t="shared" si="9"/>
        <v>15.856482134719773</v>
      </c>
      <c r="G127" s="149">
        <f>INDEX('Step 4 Stage Discharge'!E$26:F$126,MATCH(F127,'Step 4 Stage Discharge'!E$26:E$126,1),2)+(INDEX('Step 4 Stage Discharge'!E$26:F$126,MATCH(F127,'Step 4 Stage Discharge'!E$26:E$126,1)+1,2)-INDEX('Step 4 Stage Discharge'!E$26:F$126,MATCH(F127,'Step 4 Stage Discharge'!E$26:E$126,1),2))*(F127-INDEX('Step 4 Stage Discharge'!E$26:F$126,MATCH(F127,'Step 4 Stage Discharge'!E$26:E$126,1),1))/(INDEX('Step 4 Stage Discharge'!E$26:F$126,MATCH(F127,'Step 4 Stage Discharge'!E$26:E$126,1)+1,1)-INDEX('Step 4 Stage Discharge'!E$26:F$126,MATCH(F127,'Step 4 Stage Discharge'!E$26:E$126,1),1))</f>
        <v>4.0138928044551873E-2</v>
      </c>
      <c r="H127" s="149"/>
      <c r="I127" s="149">
        <f>INDEX('Step 4 Stage Discharge'!E$26:M$126,MATCH(F127,'Step 4 Stage Discharge'!E$26:E$126,1),9)+(INDEX('Step 4 Stage Discharge'!E$26:M$126,MATCH('Step 5 Routing'!F127,'Step 4 Stage Discharge'!E$26:E$126,1)+1,9)-INDEX('Step 4 Stage Discharge'!E$26:M$126,MATCH('Step 5 Routing'!F127,'Step 4 Stage Discharge'!E$26:E$126,1),9))*('Step 5 Routing'!F127-INDEX('Step 4 Stage Discharge'!E$26:M$126,MATCH('Step 5 Routing'!F127,'Step 4 Stage Discharge'!E$26:E$126,1),1))/(INDEX('Step 4 Stage Discharge'!E$26:M$126,MATCH('Step 5 Routing'!F127,'Step 4 Stage Discharge'!E$26:E$126,1)+1,1)-INDEX('Step 4 Stage Discharge'!E$26:M$126,MATCH('Step 5 Routing'!F127,'Step 4 Stage Discharge'!E$26:E$126,1),1))</f>
        <v>1.0419241314657827E-2</v>
      </c>
      <c r="J127" s="149"/>
      <c r="K127" s="6">
        <f t="shared" si="6"/>
        <v>0.62515447887946962</v>
      </c>
      <c r="L127" s="6">
        <f t="shared" si="7"/>
        <v>15.231327655840303</v>
      </c>
    </row>
    <row r="128" spans="1:12">
      <c r="A128">
        <f t="shared" si="8"/>
        <v>115</v>
      </c>
      <c r="B128" s="136">
        <f>IF(C$5=Data!D$3,'Step 2 Inflow Hydrograph'!H172,IF(C$5=Data!D$4,'Step 2 Inflow Hydrograph'!I172,IF(C$5=Data!D$5,'Step 2 Inflow Hydrograph'!J172,'Step 2 Inflow Hydrograph'!K172)))</f>
        <v>0</v>
      </c>
      <c r="C128" s="127"/>
      <c r="D128" s="6">
        <f t="shared" si="5"/>
        <v>0</v>
      </c>
      <c r="E128" s="6"/>
      <c r="F128" s="6">
        <f t="shared" si="9"/>
        <v>15.231327655840303</v>
      </c>
      <c r="G128" s="149">
        <f>INDEX('Step 4 Stage Discharge'!E$26:F$126,MATCH(F128,'Step 4 Stage Discharge'!E$26:E$126,1),2)+(INDEX('Step 4 Stage Discharge'!E$26:F$126,MATCH(F128,'Step 4 Stage Discharge'!E$26:E$126,1)+1,2)-INDEX('Step 4 Stage Discharge'!E$26:F$126,MATCH(F128,'Step 4 Stage Discharge'!E$26:E$126,1),2))*(F128-INDEX('Step 4 Stage Discharge'!E$26:F$126,MATCH(F128,'Step 4 Stage Discharge'!E$26:E$126,1),1))/(INDEX('Step 4 Stage Discharge'!E$26:F$126,MATCH(F128,'Step 4 Stage Discharge'!E$26:E$126,1)+1,1)-INDEX('Step 4 Stage Discharge'!E$26:F$126,MATCH(F128,'Step 4 Stage Discharge'!E$26:E$126,1),1))</f>
        <v>3.8556418731876013E-2</v>
      </c>
      <c r="H128" s="149"/>
      <c r="I128" s="149">
        <f>INDEX('Step 4 Stage Discharge'!E$26:M$126,MATCH(F128,'Step 4 Stage Discharge'!E$26:E$126,1),9)+(INDEX('Step 4 Stage Discharge'!E$26:M$126,MATCH('Step 5 Routing'!F128,'Step 4 Stage Discharge'!E$26:E$126,1)+1,9)-INDEX('Step 4 Stage Discharge'!E$26:M$126,MATCH('Step 5 Routing'!F128,'Step 4 Stage Discharge'!E$26:E$126,1),9))*('Step 5 Routing'!F128-INDEX('Step 4 Stage Discharge'!E$26:M$126,MATCH('Step 5 Routing'!F128,'Step 4 Stage Discharge'!E$26:E$126,1),1))/(INDEX('Step 4 Stage Discharge'!E$26:M$126,MATCH('Step 5 Routing'!F128,'Step 4 Stage Discharge'!E$26:E$126,1)+1,1)-INDEX('Step 4 Stage Discharge'!E$26:M$126,MATCH('Step 5 Routing'!F128,'Step 4 Stage Discharge'!E$26:E$126,1),1))</f>
        <v>1.018050634663175E-2</v>
      </c>
      <c r="J128" s="149"/>
      <c r="K128" s="6">
        <f t="shared" si="6"/>
        <v>0.61083038079790497</v>
      </c>
      <c r="L128" s="6">
        <f t="shared" si="7"/>
        <v>14.620497275042398</v>
      </c>
    </row>
    <row r="129" spans="1:12">
      <c r="A129">
        <f t="shared" si="8"/>
        <v>116</v>
      </c>
      <c r="B129" s="136">
        <f>IF(C$5=Data!D$3,'Step 2 Inflow Hydrograph'!H173,IF(C$5=Data!D$4,'Step 2 Inflow Hydrograph'!I173,IF(C$5=Data!D$5,'Step 2 Inflow Hydrograph'!J173,'Step 2 Inflow Hydrograph'!K173)))</f>
        <v>0</v>
      </c>
      <c r="C129" s="127"/>
      <c r="D129" s="6">
        <f t="shared" si="5"/>
        <v>0</v>
      </c>
      <c r="E129" s="6"/>
      <c r="F129" s="6">
        <f t="shared" si="9"/>
        <v>14.620497275042398</v>
      </c>
      <c r="G129" s="149">
        <f>INDEX('Step 4 Stage Discharge'!E$26:F$126,MATCH(F129,'Step 4 Stage Discharge'!E$26:E$126,1),2)+(INDEX('Step 4 Stage Discharge'!E$26:F$126,MATCH(F129,'Step 4 Stage Discharge'!E$26:E$126,1)+1,2)-INDEX('Step 4 Stage Discharge'!E$26:F$126,MATCH(F129,'Step 4 Stage Discharge'!E$26:E$126,1),2))*(F129-INDEX('Step 4 Stage Discharge'!E$26:F$126,MATCH(F129,'Step 4 Stage Discharge'!E$26:E$126,1),1))/(INDEX('Step 4 Stage Discharge'!E$26:F$126,MATCH(F129,'Step 4 Stage Discharge'!E$26:E$126,1)+1,1)-INDEX('Step 4 Stage Discharge'!E$26:F$126,MATCH(F129,'Step 4 Stage Discharge'!E$26:E$126,1),1))</f>
        <v>3.7010169286761839E-2</v>
      </c>
      <c r="H129" s="149"/>
      <c r="I129" s="149">
        <f>INDEX('Step 4 Stage Discharge'!E$26:M$126,MATCH(F129,'Step 4 Stage Discharge'!E$26:E$126,1),9)+(INDEX('Step 4 Stage Discharge'!E$26:M$126,MATCH('Step 5 Routing'!F129,'Step 4 Stage Discharge'!E$26:E$126,1)+1,9)-INDEX('Step 4 Stage Discharge'!E$26:M$126,MATCH('Step 5 Routing'!F129,'Step 4 Stage Discharge'!E$26:E$126,1),9))*('Step 5 Routing'!F129-INDEX('Step 4 Stage Discharge'!E$26:M$126,MATCH('Step 5 Routing'!F129,'Step 4 Stage Discharge'!E$26:E$126,1),1))/(INDEX('Step 4 Stage Discharge'!E$26:M$126,MATCH('Step 5 Routing'!F129,'Step 4 Stage Discharge'!E$26:E$126,1)+1,1)-INDEX('Step 4 Stage Discharge'!E$26:M$126,MATCH('Step 5 Routing'!F129,'Step 4 Stage Discharge'!E$26:E$126,1),1))</f>
        <v>9.9472414875356012E-3</v>
      </c>
      <c r="J129" s="149"/>
      <c r="K129" s="6">
        <f t="shared" si="6"/>
        <v>0.59683448925213611</v>
      </c>
      <c r="L129" s="6">
        <f t="shared" si="7"/>
        <v>14.023662785790261</v>
      </c>
    </row>
    <row r="130" spans="1:12">
      <c r="A130">
        <f t="shared" si="8"/>
        <v>117</v>
      </c>
      <c r="B130" s="136">
        <f>IF(C$5=Data!D$3,'Step 2 Inflow Hydrograph'!H174,IF(C$5=Data!D$4,'Step 2 Inflow Hydrograph'!I174,IF(C$5=Data!D$5,'Step 2 Inflow Hydrograph'!J174,'Step 2 Inflow Hydrograph'!K174)))</f>
        <v>0</v>
      </c>
      <c r="C130" s="127"/>
      <c r="D130" s="6">
        <f t="shared" si="5"/>
        <v>0</v>
      </c>
      <c r="E130" s="6"/>
      <c r="F130" s="6">
        <f t="shared" si="9"/>
        <v>14.023662785790261</v>
      </c>
      <c r="G130" s="149">
        <f>INDEX('Step 4 Stage Discharge'!E$26:F$126,MATCH(F130,'Step 4 Stage Discharge'!E$26:E$126,1),2)+(INDEX('Step 4 Stage Discharge'!E$26:F$126,MATCH(F130,'Step 4 Stage Discharge'!E$26:E$126,1)+1,2)-INDEX('Step 4 Stage Discharge'!E$26:F$126,MATCH(F130,'Step 4 Stage Discharge'!E$26:E$126,1),2))*(F130-INDEX('Step 4 Stage Discharge'!E$26:F$126,MATCH(F130,'Step 4 Stage Discharge'!E$26:E$126,1),1))/(INDEX('Step 4 Stage Discharge'!E$26:F$126,MATCH(F130,'Step 4 Stage Discharge'!E$26:E$126,1)+1,1)-INDEX('Step 4 Stage Discharge'!E$26:F$126,MATCH(F130,'Step 4 Stage Discharge'!E$26:E$126,1),1))</f>
        <v>3.5499348890720588E-2</v>
      </c>
      <c r="H130" s="149"/>
      <c r="I130" s="149">
        <f>INDEX('Step 4 Stage Discharge'!E$26:M$126,MATCH(F130,'Step 4 Stage Discharge'!E$26:E$126,1),9)+(INDEX('Step 4 Stage Discharge'!E$26:M$126,MATCH('Step 5 Routing'!F130,'Step 4 Stage Discharge'!E$26:E$126,1)+1,9)-INDEX('Step 4 Stage Discharge'!E$26:M$126,MATCH('Step 5 Routing'!F130,'Step 4 Stage Discharge'!E$26:E$126,1),9))*('Step 5 Routing'!F130-INDEX('Step 4 Stage Discharge'!E$26:M$126,MATCH('Step 5 Routing'!F130,'Step 4 Stage Discharge'!E$26:E$126,1),1))/(INDEX('Step 4 Stage Discharge'!E$26:M$126,MATCH('Step 5 Routing'!F130,'Step 4 Stage Discharge'!E$26:E$126,1)+1,1)-INDEX('Step 4 Stage Discharge'!E$26:M$126,MATCH('Step 5 Routing'!F130,'Step 4 Stage Discharge'!E$26:E$126,1),1))</f>
        <v>9.7193214013452899E-3</v>
      </c>
      <c r="J130" s="149"/>
      <c r="K130" s="6">
        <f t="shared" si="6"/>
        <v>0.58315928408071738</v>
      </c>
      <c r="L130" s="6">
        <f t="shared" si="7"/>
        <v>13.440503501709543</v>
      </c>
    </row>
    <row r="131" spans="1:12">
      <c r="A131">
        <f t="shared" si="8"/>
        <v>118</v>
      </c>
      <c r="B131" s="136">
        <f>IF(C$5=Data!D$3,'Step 2 Inflow Hydrograph'!H175,IF(C$5=Data!D$4,'Step 2 Inflow Hydrograph'!I175,IF(C$5=Data!D$5,'Step 2 Inflow Hydrograph'!J175,'Step 2 Inflow Hydrograph'!K175)))</f>
        <v>0</v>
      </c>
      <c r="C131" s="127"/>
      <c r="D131" s="6">
        <f t="shared" si="5"/>
        <v>0</v>
      </c>
      <c r="E131" s="6"/>
      <c r="F131" s="6">
        <f t="shared" si="9"/>
        <v>13.440503501709543</v>
      </c>
      <c r="G131" s="149">
        <f>INDEX('Step 4 Stage Discharge'!E$26:F$126,MATCH(F131,'Step 4 Stage Discharge'!E$26:E$126,1),2)+(INDEX('Step 4 Stage Discharge'!E$26:F$126,MATCH(F131,'Step 4 Stage Discharge'!E$26:E$126,1)+1,2)-INDEX('Step 4 Stage Discharge'!E$26:F$126,MATCH(F131,'Step 4 Stage Discharge'!E$26:E$126,1),2))*(F131-INDEX('Step 4 Stage Discharge'!E$26:F$126,MATCH(F131,'Step 4 Stage Discharge'!E$26:E$126,1),1))/(INDEX('Step 4 Stage Discharge'!E$26:F$126,MATCH(F131,'Step 4 Stage Discharge'!E$26:E$126,1)+1,1)-INDEX('Step 4 Stage Discharge'!E$26:F$126,MATCH(F131,'Step 4 Stage Discharge'!E$26:E$126,1),1))</f>
        <v>3.4023145761719172E-2</v>
      </c>
      <c r="H131" s="149"/>
      <c r="I131" s="149">
        <f>INDEX('Step 4 Stage Discharge'!E$26:M$126,MATCH(F131,'Step 4 Stage Discharge'!E$26:E$126,1),9)+(INDEX('Step 4 Stage Discharge'!E$26:M$126,MATCH('Step 5 Routing'!F131,'Step 4 Stage Discharge'!E$26:E$126,1)+1,9)-INDEX('Step 4 Stage Discharge'!E$26:M$126,MATCH('Step 5 Routing'!F131,'Step 4 Stage Discharge'!E$26:E$126,1),9))*('Step 5 Routing'!F131-INDEX('Step 4 Stage Discharge'!E$26:M$126,MATCH('Step 5 Routing'!F131,'Step 4 Stage Discharge'!E$26:E$126,1),1))/(INDEX('Step 4 Stage Discharge'!E$26:M$126,MATCH('Step 5 Routing'!F131,'Step 4 Stage Discharge'!E$26:E$126,1)+1,1)-INDEX('Step 4 Stage Discharge'!E$26:M$126,MATCH('Step 5 Routing'!F131,'Step 4 Stage Discharge'!E$26:E$126,1),1))</f>
        <v>9.4966236238477018E-3</v>
      </c>
      <c r="J131" s="149"/>
      <c r="K131" s="6">
        <f t="shared" si="6"/>
        <v>0.5697974174308621</v>
      </c>
      <c r="L131" s="6">
        <f t="shared" si="7"/>
        <v>12.87070608427868</v>
      </c>
    </row>
    <row r="132" spans="1:12">
      <c r="A132">
        <f t="shared" si="8"/>
        <v>119</v>
      </c>
      <c r="B132" s="136">
        <f>IF(C$5=Data!D$3,'Step 2 Inflow Hydrograph'!H176,IF(C$5=Data!D$4,'Step 2 Inflow Hydrograph'!I176,IF(C$5=Data!D$5,'Step 2 Inflow Hydrograph'!J176,'Step 2 Inflow Hydrograph'!K176)))</f>
        <v>0</v>
      </c>
      <c r="C132" s="127"/>
      <c r="D132" s="6">
        <f t="shared" si="5"/>
        <v>0</v>
      </c>
      <c r="E132" s="6"/>
      <c r="F132" s="6">
        <f t="shared" si="9"/>
        <v>12.87070608427868</v>
      </c>
      <c r="G132" s="149">
        <f>INDEX('Step 4 Stage Discharge'!E$26:F$126,MATCH(F132,'Step 4 Stage Discharge'!E$26:E$126,1),2)+(INDEX('Step 4 Stage Discharge'!E$26:F$126,MATCH(F132,'Step 4 Stage Discharge'!E$26:E$126,1)+1,2)-INDEX('Step 4 Stage Discharge'!E$26:F$126,MATCH(F132,'Step 4 Stage Discharge'!E$26:E$126,1),2))*(F132-INDEX('Step 4 Stage Discharge'!E$26:F$126,MATCH(F132,'Step 4 Stage Discharge'!E$26:E$126,1),1))/(INDEX('Step 4 Stage Discharge'!E$26:F$126,MATCH(F132,'Step 4 Stage Discharge'!E$26:E$126,1)+1,1)-INDEX('Step 4 Stage Discharge'!E$26:F$126,MATCH(F132,'Step 4 Stage Discharge'!E$26:E$126,1),1))</f>
        <v>3.2580766717999893E-2</v>
      </c>
      <c r="H132" s="149"/>
      <c r="I132" s="149">
        <f>INDEX('Step 4 Stage Discharge'!E$26:M$126,MATCH(F132,'Step 4 Stage Discharge'!E$26:E$126,1),9)+(INDEX('Step 4 Stage Discharge'!E$26:M$126,MATCH('Step 5 Routing'!F132,'Step 4 Stage Discharge'!E$26:E$126,1)+1,9)-INDEX('Step 4 Stage Discharge'!E$26:M$126,MATCH('Step 5 Routing'!F132,'Step 4 Stage Discharge'!E$26:E$126,1),9))*('Step 5 Routing'!F132-INDEX('Step 4 Stage Discharge'!E$26:M$126,MATCH('Step 5 Routing'!F132,'Step 4 Stage Discharge'!E$26:E$126,1),1))/(INDEX('Step 4 Stage Discharge'!E$26:M$126,MATCH('Step 5 Routing'!F132,'Step 4 Stage Discharge'!E$26:E$126,1)+1,1)-INDEX('Step 4 Stage Discharge'!E$26:M$126,MATCH('Step 5 Routing'!F132,'Step 4 Stage Discharge'!E$26:E$126,1),1))</f>
        <v>9.2790284968392225E-3</v>
      </c>
      <c r="J132" s="149"/>
      <c r="K132" s="6">
        <f t="shared" si="6"/>
        <v>0.55674170981035331</v>
      </c>
      <c r="L132" s="6">
        <f t="shared" si="7"/>
        <v>12.313964374468327</v>
      </c>
    </row>
    <row r="133" spans="1:12">
      <c r="A133">
        <f t="shared" si="8"/>
        <v>120</v>
      </c>
      <c r="B133" s="136">
        <f>IF(C$5=Data!D$3,'Step 2 Inflow Hydrograph'!H177,IF(C$5=Data!D$4,'Step 2 Inflow Hydrograph'!I177,IF(C$5=Data!D$5,'Step 2 Inflow Hydrograph'!J177,'Step 2 Inflow Hydrograph'!K177)))</f>
        <v>0</v>
      </c>
      <c r="C133" s="127"/>
      <c r="D133" s="6">
        <f t="shared" si="5"/>
        <v>0</v>
      </c>
      <c r="E133" s="6"/>
      <c r="F133" s="6">
        <f t="shared" si="9"/>
        <v>12.313964374468327</v>
      </c>
      <c r="G133" s="149">
        <f>INDEX('Step 4 Stage Discharge'!E$26:F$126,MATCH(F133,'Step 4 Stage Discharge'!E$26:E$126,1),2)+(INDEX('Step 4 Stage Discharge'!E$26:F$126,MATCH(F133,'Step 4 Stage Discharge'!E$26:E$126,1)+1,2)-INDEX('Step 4 Stage Discharge'!E$26:F$126,MATCH(F133,'Step 4 Stage Discharge'!E$26:E$126,1),2))*(F133-INDEX('Step 4 Stage Discharge'!E$26:F$126,MATCH(F133,'Step 4 Stage Discharge'!E$26:E$126,1),1))/(INDEX('Step 4 Stage Discharge'!E$26:F$126,MATCH(F133,'Step 4 Stage Discharge'!E$26:E$126,1)+1,1)-INDEX('Step 4 Stage Discharge'!E$26:F$126,MATCH(F133,'Step 4 Stage Discharge'!E$26:E$126,1),1))</f>
        <v>3.1171436751894304E-2</v>
      </c>
      <c r="H133" s="149"/>
      <c r="I133" s="149">
        <f>INDEX('Step 4 Stage Discharge'!E$26:M$126,MATCH(F133,'Step 4 Stage Discharge'!E$26:E$126,1),9)+(INDEX('Step 4 Stage Discharge'!E$26:M$126,MATCH('Step 5 Routing'!F133,'Step 4 Stage Discharge'!E$26:E$126,1)+1,9)-INDEX('Step 4 Stage Discharge'!E$26:M$126,MATCH('Step 5 Routing'!F133,'Step 4 Stage Discharge'!E$26:E$126,1),9))*('Step 5 Routing'!F133-INDEX('Step 4 Stage Discharge'!E$26:M$126,MATCH('Step 5 Routing'!F133,'Step 4 Stage Discharge'!E$26:E$126,1),1))/(INDEX('Step 4 Stage Discharge'!E$26:M$126,MATCH('Step 5 Routing'!F133,'Step 4 Stage Discharge'!E$26:E$126,1)+1,1)-INDEX('Step 4 Stage Discharge'!E$26:M$126,MATCH('Step 5 Routing'!F133,'Step 4 Stage Discharge'!E$26:E$126,1),1))</f>
        <v>9.0664191038319249E-3</v>
      </c>
      <c r="J133" s="149"/>
      <c r="K133" s="6">
        <f t="shared" si="6"/>
        <v>0.54398514622991545</v>
      </c>
      <c r="L133" s="6">
        <f t="shared" si="7"/>
        <v>11.769979228238412</v>
      </c>
    </row>
    <row r="134" spans="1:12">
      <c r="A134">
        <f t="shared" si="8"/>
        <v>121</v>
      </c>
      <c r="B134" s="136">
        <f>IF(C$5=Data!D$3,'Step 2 Inflow Hydrograph'!H178,IF(C$5=Data!D$4,'Step 2 Inflow Hydrograph'!I178,IF(C$5=Data!D$5,'Step 2 Inflow Hydrograph'!J178,'Step 2 Inflow Hydrograph'!K178)))</f>
        <v>0</v>
      </c>
      <c r="C134" s="127"/>
      <c r="D134" s="6">
        <f t="shared" si="5"/>
        <v>0</v>
      </c>
      <c r="E134" s="6"/>
      <c r="F134" s="6">
        <f t="shared" si="9"/>
        <v>11.769979228238412</v>
      </c>
      <c r="G134" s="149">
        <f>INDEX('Step 4 Stage Discharge'!E$26:F$126,MATCH(F134,'Step 4 Stage Discharge'!E$26:E$126,1),2)+(INDEX('Step 4 Stage Discharge'!E$26:F$126,MATCH(F134,'Step 4 Stage Discharge'!E$26:E$126,1)+1,2)-INDEX('Step 4 Stage Discharge'!E$26:F$126,MATCH(F134,'Step 4 Stage Discharge'!E$26:E$126,1),2))*(F134-INDEX('Step 4 Stage Discharge'!E$26:F$126,MATCH(F134,'Step 4 Stage Discharge'!E$26:E$126,1),1))/(INDEX('Step 4 Stage Discharge'!E$26:F$126,MATCH(F134,'Step 4 Stage Discharge'!E$26:E$126,1)+1,1)-INDEX('Step 4 Stage Discharge'!E$26:F$126,MATCH(F134,'Step 4 Stage Discharge'!E$26:E$126,1),1))</f>
        <v>2.9794398613402214E-2</v>
      </c>
      <c r="H134" s="149"/>
      <c r="I134" s="149">
        <f>INDEX('Step 4 Stage Discharge'!E$26:M$126,MATCH(F134,'Step 4 Stage Discharge'!E$26:E$126,1),9)+(INDEX('Step 4 Stage Discharge'!E$26:M$126,MATCH('Step 5 Routing'!F134,'Step 4 Stage Discharge'!E$26:E$126,1)+1,9)-INDEX('Step 4 Stage Discharge'!E$26:M$126,MATCH('Step 5 Routing'!F134,'Step 4 Stage Discharge'!E$26:E$126,1),9))*('Step 5 Routing'!F134-INDEX('Step 4 Stage Discharge'!E$26:M$126,MATCH('Step 5 Routing'!F134,'Step 4 Stage Discharge'!E$26:E$126,1),1))/(INDEX('Step 4 Stage Discharge'!E$26:M$126,MATCH('Step 5 Routing'!F134,'Step 4 Stage Discharge'!E$26:E$126,1)+1,1)-INDEX('Step 4 Stage Discharge'!E$26:M$126,MATCH('Step 5 Routing'!F134,'Step 4 Stage Discharge'!E$26:E$126,1),1))</f>
        <v>8.8586812072329324E-3</v>
      </c>
      <c r="J134" s="149"/>
      <c r="K134" s="6">
        <f t="shared" si="6"/>
        <v>0.53152087243397594</v>
      </c>
      <c r="L134" s="6">
        <f t="shared" si="7"/>
        <v>11.238458355804436</v>
      </c>
    </row>
    <row r="135" spans="1:12">
      <c r="A135">
        <f t="shared" si="8"/>
        <v>122</v>
      </c>
      <c r="B135" s="136">
        <f>IF(C$5=Data!D$3,'Step 2 Inflow Hydrograph'!H179,IF(C$5=Data!D$4,'Step 2 Inflow Hydrograph'!I179,IF(C$5=Data!D$5,'Step 2 Inflow Hydrograph'!J179,'Step 2 Inflow Hydrograph'!K179)))</f>
        <v>0</v>
      </c>
      <c r="C135" s="127"/>
      <c r="D135" s="6">
        <f t="shared" si="5"/>
        <v>0</v>
      </c>
      <c r="E135" s="6"/>
      <c r="F135" s="6">
        <f t="shared" si="9"/>
        <v>11.238458355804436</v>
      </c>
      <c r="G135" s="149">
        <f>INDEX('Step 4 Stage Discharge'!E$26:F$126,MATCH(F135,'Step 4 Stage Discharge'!E$26:E$126,1),2)+(INDEX('Step 4 Stage Discharge'!E$26:F$126,MATCH(F135,'Step 4 Stage Discharge'!E$26:E$126,1)+1,2)-INDEX('Step 4 Stage Discharge'!E$26:F$126,MATCH(F135,'Step 4 Stage Discharge'!E$26:E$126,1),2))*(F135-INDEX('Step 4 Stage Discharge'!E$26:F$126,MATCH(F135,'Step 4 Stage Discharge'!E$26:E$126,1),1))/(INDEX('Step 4 Stage Discharge'!E$26:F$126,MATCH(F135,'Step 4 Stage Discharge'!E$26:E$126,1)+1,1)-INDEX('Step 4 Stage Discharge'!E$26:F$126,MATCH(F135,'Step 4 Stage Discharge'!E$26:E$126,1),1))</f>
        <v>2.8448912403312161E-2</v>
      </c>
      <c r="H135" s="149"/>
      <c r="I135" s="149">
        <f>INDEX('Step 4 Stage Discharge'!E$26:M$126,MATCH(F135,'Step 4 Stage Discharge'!E$26:E$126,1),9)+(INDEX('Step 4 Stage Discharge'!E$26:M$126,MATCH('Step 5 Routing'!F135,'Step 4 Stage Discharge'!E$26:E$126,1)+1,9)-INDEX('Step 4 Stage Discharge'!E$26:M$126,MATCH('Step 5 Routing'!F135,'Step 4 Stage Discharge'!E$26:E$126,1),9))*('Step 5 Routing'!F135-INDEX('Step 4 Stage Discharge'!E$26:M$126,MATCH('Step 5 Routing'!F135,'Step 4 Stage Discharge'!E$26:E$126,1),1))/(INDEX('Step 4 Stage Discharge'!E$26:M$126,MATCH('Step 5 Routing'!F135,'Step 4 Stage Discharge'!E$26:E$126,1)+1,1)-INDEX('Step 4 Stage Discharge'!E$26:M$126,MATCH('Step 5 Routing'!F135,'Step 4 Stage Discharge'!E$26:E$126,1),1))</f>
        <v>8.6557031869631887E-3</v>
      </c>
      <c r="J135" s="149"/>
      <c r="K135" s="6">
        <f t="shared" si="6"/>
        <v>0.51934219121779135</v>
      </c>
      <c r="L135" s="6">
        <f t="shared" si="7"/>
        <v>10.719116164586644</v>
      </c>
    </row>
    <row r="136" spans="1:12">
      <c r="A136">
        <f t="shared" si="8"/>
        <v>123</v>
      </c>
      <c r="B136" s="136">
        <f>IF(C$5=Data!D$3,'Step 2 Inflow Hydrograph'!H180,IF(C$5=Data!D$4,'Step 2 Inflow Hydrograph'!I180,IF(C$5=Data!D$5,'Step 2 Inflow Hydrograph'!J180,'Step 2 Inflow Hydrograph'!K180)))</f>
        <v>0</v>
      </c>
      <c r="C136" s="127"/>
      <c r="D136" s="6">
        <f t="shared" si="5"/>
        <v>0</v>
      </c>
      <c r="E136" s="6"/>
      <c r="F136" s="6">
        <f t="shared" si="9"/>
        <v>10.719116164586644</v>
      </c>
      <c r="G136" s="149">
        <f>INDEX('Step 4 Stage Discharge'!E$26:F$126,MATCH(F136,'Step 4 Stage Discharge'!E$26:E$126,1),2)+(INDEX('Step 4 Stage Discharge'!E$26:F$126,MATCH(F136,'Step 4 Stage Discharge'!E$26:E$126,1)+1,2)-INDEX('Step 4 Stage Discharge'!E$26:F$126,MATCH(F136,'Step 4 Stage Discharge'!E$26:E$126,1),2))*(F136-INDEX('Step 4 Stage Discharge'!E$26:F$126,MATCH(F136,'Step 4 Stage Discharge'!E$26:E$126,1),1))/(INDEX('Step 4 Stage Discharge'!E$26:F$126,MATCH(F136,'Step 4 Stage Discharge'!E$26:E$126,1)+1,1)-INDEX('Step 4 Stage Discharge'!E$26:F$126,MATCH(F136,'Step 4 Stage Discharge'!E$26:E$126,1),1))</f>
        <v>2.7134255175644599E-2</v>
      </c>
      <c r="H136" s="149"/>
      <c r="I136" s="149">
        <f>INDEX('Step 4 Stage Discharge'!E$26:M$126,MATCH(F136,'Step 4 Stage Discharge'!E$26:E$126,1),9)+(INDEX('Step 4 Stage Discharge'!E$26:M$126,MATCH('Step 5 Routing'!F136,'Step 4 Stage Discharge'!E$26:E$126,1)+1,9)-INDEX('Step 4 Stage Discharge'!E$26:M$126,MATCH('Step 5 Routing'!F136,'Step 4 Stage Discharge'!E$26:E$126,1),9))*('Step 5 Routing'!F136-INDEX('Step 4 Stage Discharge'!E$26:M$126,MATCH('Step 5 Routing'!F136,'Step 4 Stage Discharge'!E$26:E$126,1),1))/(INDEX('Step 4 Stage Discharge'!E$26:M$126,MATCH('Step 5 Routing'!F136,'Step 4 Stage Discharge'!E$26:E$126,1)+1,1)-INDEX('Step 4 Stage Discharge'!E$26:M$126,MATCH('Step 5 Routing'!F136,'Step 4 Stage Discharge'!E$26:E$126,1),1))</f>
        <v>8.4573759804826339E-3</v>
      </c>
      <c r="J136" s="149"/>
      <c r="K136" s="6">
        <f t="shared" si="6"/>
        <v>0.50744255882895806</v>
      </c>
      <c r="L136" s="6">
        <f t="shared" si="7"/>
        <v>10.211673605757687</v>
      </c>
    </row>
    <row r="137" spans="1:12">
      <c r="A137">
        <f t="shared" si="8"/>
        <v>124</v>
      </c>
      <c r="B137" s="136">
        <f>IF(C$5=Data!D$3,'Step 2 Inflow Hydrograph'!H181,IF(C$5=Data!D$4,'Step 2 Inflow Hydrograph'!I181,IF(C$5=Data!D$5,'Step 2 Inflow Hydrograph'!J181,'Step 2 Inflow Hydrograph'!K181)))</f>
        <v>0</v>
      </c>
      <c r="C137" s="127"/>
      <c r="D137" s="6">
        <f t="shared" si="5"/>
        <v>0</v>
      </c>
      <c r="E137" s="6"/>
      <c r="F137" s="6">
        <f t="shared" si="9"/>
        <v>10.211673605757687</v>
      </c>
      <c r="G137" s="149">
        <f>INDEX('Step 4 Stage Discharge'!E$26:F$126,MATCH(F137,'Step 4 Stage Discharge'!E$26:E$126,1),2)+(INDEX('Step 4 Stage Discharge'!E$26:F$126,MATCH(F137,'Step 4 Stage Discharge'!E$26:E$126,1)+1,2)-INDEX('Step 4 Stage Discharge'!E$26:F$126,MATCH(F137,'Step 4 Stage Discharge'!E$26:E$126,1),2))*(F137-INDEX('Step 4 Stage Discharge'!E$26:F$126,MATCH(F137,'Step 4 Stage Discharge'!E$26:E$126,1),1))/(INDEX('Step 4 Stage Discharge'!E$26:F$126,MATCH(F137,'Step 4 Stage Discharge'!E$26:E$126,1)+1,1)-INDEX('Step 4 Stage Discharge'!E$26:F$126,MATCH(F137,'Step 4 Stage Discharge'!E$26:E$126,1),1))</f>
        <v>2.5849720549204348E-2</v>
      </c>
      <c r="H137" s="149"/>
      <c r="I137" s="149">
        <f>INDEX('Step 4 Stage Discharge'!E$26:M$126,MATCH(F137,'Step 4 Stage Discharge'!E$26:E$126,1),9)+(INDEX('Step 4 Stage Discharge'!E$26:M$126,MATCH('Step 5 Routing'!F137,'Step 4 Stage Discharge'!E$26:E$126,1)+1,9)-INDEX('Step 4 Stage Discharge'!E$26:M$126,MATCH('Step 5 Routing'!F137,'Step 4 Stage Discharge'!E$26:E$126,1),9))*('Step 5 Routing'!F137-INDEX('Step 4 Stage Discharge'!E$26:M$126,MATCH('Step 5 Routing'!F137,'Step 4 Stage Discharge'!E$26:E$126,1),1))/(INDEX('Step 4 Stage Discharge'!E$26:M$126,MATCH('Step 5 Routing'!F137,'Step 4 Stage Discharge'!E$26:E$126,1)+1,1)-INDEX('Step 4 Stage Discharge'!E$26:M$126,MATCH('Step 5 Routing'!F137,'Step 4 Stage Discharge'!E$26:E$126,1),1))</f>
        <v>8.2635930241895892E-3</v>
      </c>
      <c r="J137" s="149"/>
      <c r="K137" s="6">
        <f t="shared" si="6"/>
        <v>0.49581558145137533</v>
      </c>
      <c r="L137" s="6">
        <f t="shared" si="7"/>
        <v>9.7158580243063124</v>
      </c>
    </row>
    <row r="138" spans="1:12">
      <c r="A138">
        <f t="shared" si="8"/>
        <v>125</v>
      </c>
      <c r="B138" s="136">
        <f>IF(C$5=Data!D$3,'Step 2 Inflow Hydrograph'!H182,IF(C$5=Data!D$4,'Step 2 Inflow Hydrograph'!I182,IF(C$5=Data!D$5,'Step 2 Inflow Hydrograph'!J182,'Step 2 Inflow Hydrograph'!K182)))</f>
        <v>0</v>
      </c>
      <c r="C138" s="127"/>
      <c r="D138" s="6">
        <f t="shared" si="5"/>
        <v>0</v>
      </c>
      <c r="E138" s="6"/>
      <c r="F138" s="6">
        <f t="shared" si="9"/>
        <v>9.7158580243063124</v>
      </c>
      <c r="G138" s="149">
        <f>INDEX('Step 4 Stage Discharge'!E$26:F$126,MATCH(F138,'Step 4 Stage Discharge'!E$26:E$126,1),2)+(INDEX('Step 4 Stage Discharge'!E$26:F$126,MATCH(F138,'Step 4 Stage Discharge'!E$26:E$126,1)+1,2)-INDEX('Step 4 Stage Discharge'!E$26:F$126,MATCH(F138,'Step 4 Stage Discharge'!E$26:E$126,1),2))*(F138-INDEX('Step 4 Stage Discharge'!E$26:F$126,MATCH(F138,'Step 4 Stage Discharge'!E$26:E$126,1),1))/(INDEX('Step 4 Stage Discharge'!E$26:F$126,MATCH(F138,'Step 4 Stage Discharge'!E$26:E$126,1)+1,1)-INDEX('Step 4 Stage Discharge'!E$26:F$126,MATCH(F138,'Step 4 Stage Discharge'!E$26:E$126,1),1))</f>
        <v>2.4594618328033394E-2</v>
      </c>
      <c r="H138" s="149"/>
      <c r="I138" s="149">
        <f>INDEX('Step 4 Stage Discharge'!E$26:M$126,MATCH(F138,'Step 4 Stage Discharge'!E$26:E$126,1),9)+(INDEX('Step 4 Stage Discharge'!E$26:M$126,MATCH('Step 5 Routing'!F138,'Step 4 Stage Discharge'!E$26:E$126,1)+1,9)-INDEX('Step 4 Stage Discharge'!E$26:M$126,MATCH('Step 5 Routing'!F138,'Step 4 Stage Discharge'!E$26:E$126,1),9))*('Step 5 Routing'!F138-INDEX('Step 4 Stage Discharge'!E$26:M$126,MATCH('Step 5 Routing'!F138,'Step 4 Stage Discharge'!E$26:E$126,1),1))/(INDEX('Step 4 Stage Discharge'!E$26:M$126,MATCH('Step 5 Routing'!F138,'Step 4 Stage Discharge'!E$26:E$126,1)+1,1)-INDEX('Step 4 Stage Discharge'!E$26:M$126,MATCH('Step 5 Routing'!F138,'Step 4 Stage Discharge'!E$26:E$126,1),1))</f>
        <v>8.0742501961628445E-3</v>
      </c>
      <c r="J138" s="149"/>
      <c r="K138" s="6">
        <f t="shared" si="6"/>
        <v>0.48445501176977068</v>
      </c>
      <c r="L138" s="6">
        <f t="shared" si="7"/>
        <v>9.2314030125365409</v>
      </c>
    </row>
    <row r="139" spans="1:12">
      <c r="A139">
        <f t="shared" si="8"/>
        <v>126</v>
      </c>
      <c r="B139" s="136">
        <f>IF(C$5=Data!D$3,'Step 2 Inflow Hydrograph'!H183,IF(C$5=Data!D$4,'Step 2 Inflow Hydrograph'!I183,IF(C$5=Data!D$5,'Step 2 Inflow Hydrograph'!J183,'Step 2 Inflow Hydrograph'!K183)))</f>
        <v>0</v>
      </c>
      <c r="C139" s="127"/>
      <c r="D139" s="6">
        <f t="shared" si="5"/>
        <v>0</v>
      </c>
      <c r="E139" s="6"/>
      <c r="F139" s="6">
        <f t="shared" si="9"/>
        <v>9.2314030125365409</v>
      </c>
      <c r="G139" s="149">
        <f>INDEX('Step 4 Stage Discharge'!E$26:F$126,MATCH(F139,'Step 4 Stage Discharge'!E$26:E$126,1),2)+(INDEX('Step 4 Stage Discharge'!E$26:F$126,MATCH(F139,'Step 4 Stage Discharge'!E$26:E$126,1)+1,2)-INDEX('Step 4 Stage Discharge'!E$26:F$126,MATCH(F139,'Step 4 Stage Discharge'!E$26:E$126,1),2))*(F139-INDEX('Step 4 Stage Discharge'!E$26:F$126,MATCH(F139,'Step 4 Stage Discharge'!E$26:E$126,1),1))/(INDEX('Step 4 Stage Discharge'!E$26:F$126,MATCH(F139,'Step 4 Stage Discharge'!E$26:E$126,1)+1,1)-INDEX('Step 4 Stage Discharge'!E$26:F$126,MATCH(F139,'Step 4 Stage Discharge'!E$26:E$126,1),1))</f>
        <v>2.3368274130560297E-2</v>
      </c>
      <c r="H139" s="149"/>
      <c r="I139" s="149">
        <f>INDEX('Step 4 Stage Discharge'!E$26:M$126,MATCH(F139,'Step 4 Stage Discharge'!E$26:E$126,1),9)+(INDEX('Step 4 Stage Discharge'!E$26:M$126,MATCH('Step 5 Routing'!F139,'Step 4 Stage Discharge'!E$26:E$126,1)+1,9)-INDEX('Step 4 Stage Discharge'!E$26:M$126,MATCH('Step 5 Routing'!F139,'Step 4 Stage Discharge'!E$26:E$126,1),9))*('Step 5 Routing'!F139-INDEX('Step 4 Stage Discharge'!E$26:M$126,MATCH('Step 5 Routing'!F139,'Step 4 Stage Discharge'!E$26:E$126,1),1))/(INDEX('Step 4 Stage Discharge'!E$26:M$126,MATCH('Step 5 Routing'!F139,'Step 4 Stage Discharge'!E$26:E$126,1)+1,1)-INDEX('Step 4 Stage Discharge'!E$26:M$126,MATCH('Step 5 Routing'!F139,'Step 4 Stage Discharge'!E$26:E$126,1),1))</f>
        <v>7.8892457602156955E-3</v>
      </c>
      <c r="J139" s="149"/>
      <c r="K139" s="6">
        <f t="shared" si="6"/>
        <v>0.47335474561294172</v>
      </c>
      <c r="L139" s="6">
        <f t="shared" si="7"/>
        <v>8.7580482669235984</v>
      </c>
    </row>
    <row r="140" spans="1:12">
      <c r="A140">
        <f t="shared" si="8"/>
        <v>127</v>
      </c>
      <c r="B140" s="136">
        <f>IF(C$5=Data!D$3,'Step 2 Inflow Hydrograph'!H184,IF(C$5=Data!D$4,'Step 2 Inflow Hydrograph'!I184,IF(C$5=Data!D$5,'Step 2 Inflow Hydrograph'!J184,'Step 2 Inflow Hydrograph'!K184)))</f>
        <v>0</v>
      </c>
      <c r="C140" s="127"/>
      <c r="D140" s="6">
        <f t="shared" si="5"/>
        <v>0</v>
      </c>
      <c r="E140" s="6"/>
      <c r="F140" s="6">
        <f t="shared" si="9"/>
        <v>8.7580482669235984</v>
      </c>
      <c r="G140" s="149">
        <f>INDEX('Step 4 Stage Discharge'!E$26:F$126,MATCH(F140,'Step 4 Stage Discharge'!E$26:E$126,1),2)+(INDEX('Step 4 Stage Discharge'!E$26:F$126,MATCH(F140,'Step 4 Stage Discharge'!E$26:E$126,1)+1,2)-INDEX('Step 4 Stage Discharge'!E$26:F$126,MATCH(F140,'Step 4 Stage Discharge'!E$26:E$126,1),2))*(F140-INDEX('Step 4 Stage Discharge'!E$26:F$126,MATCH(F140,'Step 4 Stage Discharge'!E$26:E$126,1),1))/(INDEX('Step 4 Stage Discharge'!E$26:F$126,MATCH(F140,'Step 4 Stage Discharge'!E$26:E$126,1)+1,1)-INDEX('Step 4 Stage Discharge'!E$26:F$126,MATCH(F140,'Step 4 Stage Discharge'!E$26:E$126,1),1))</f>
        <v>2.2170029027246855E-2</v>
      </c>
      <c r="H140" s="149"/>
      <c r="I140" s="149">
        <f>INDEX('Step 4 Stage Discharge'!E$26:M$126,MATCH(F140,'Step 4 Stage Discharge'!E$26:E$126,1),9)+(INDEX('Step 4 Stage Discharge'!E$26:M$126,MATCH('Step 5 Routing'!F140,'Step 4 Stage Discharge'!E$26:E$126,1)+1,9)-INDEX('Step 4 Stage Discharge'!E$26:M$126,MATCH('Step 5 Routing'!F140,'Step 4 Stage Discharge'!E$26:E$126,1),9))*('Step 5 Routing'!F140-INDEX('Step 4 Stage Discharge'!E$26:M$126,MATCH('Step 5 Routing'!F140,'Step 4 Stage Discharge'!E$26:E$126,1),1))/(INDEX('Step 4 Stage Discharge'!E$26:M$126,MATCH('Step 5 Routing'!F140,'Step 4 Stage Discharge'!E$26:E$126,1)+1,1)-INDEX('Step 4 Stage Discharge'!E$26:M$126,MATCH('Step 5 Routing'!F140,'Step 4 Stage Discharge'!E$26:E$126,1),1))</f>
        <v>7.7084803112318695E-3</v>
      </c>
      <c r="J140" s="149"/>
      <c r="K140" s="6">
        <f t="shared" si="6"/>
        <v>0.46250881867391219</v>
      </c>
      <c r="L140" s="6">
        <f t="shared" si="7"/>
        <v>8.295539448249686</v>
      </c>
    </row>
    <row r="141" spans="1:12">
      <c r="A141">
        <f t="shared" si="8"/>
        <v>128</v>
      </c>
      <c r="B141" s="136">
        <f>IF(C$5=Data!D$3,'Step 2 Inflow Hydrograph'!H185,IF(C$5=Data!D$4,'Step 2 Inflow Hydrograph'!I185,IF(C$5=Data!D$5,'Step 2 Inflow Hydrograph'!J185,'Step 2 Inflow Hydrograph'!K185)))</f>
        <v>0</v>
      </c>
      <c r="C141" s="127"/>
      <c r="D141" s="6">
        <f t="shared" ref="D141:D204" si="10">IF(B141="",0,B141*D$8*60)</f>
        <v>0</v>
      </c>
      <c r="E141" s="6"/>
      <c r="F141" s="6">
        <f t="shared" si="9"/>
        <v>8.295539448249686</v>
      </c>
      <c r="G141" s="149">
        <f>INDEX('Step 4 Stage Discharge'!E$26:F$126,MATCH(F141,'Step 4 Stage Discharge'!E$26:E$126,1),2)+(INDEX('Step 4 Stage Discharge'!E$26:F$126,MATCH(F141,'Step 4 Stage Discharge'!E$26:E$126,1)+1,2)-INDEX('Step 4 Stage Discharge'!E$26:F$126,MATCH(F141,'Step 4 Stage Discharge'!E$26:E$126,1),2))*(F141-INDEX('Step 4 Stage Discharge'!E$26:F$126,MATCH(F141,'Step 4 Stage Discharge'!E$26:E$126,1),1))/(INDEX('Step 4 Stage Discharge'!E$26:F$126,MATCH(F141,'Step 4 Stage Discharge'!E$26:E$126,1)+1,1)-INDEX('Step 4 Stage Discharge'!E$26:F$126,MATCH(F141,'Step 4 Stage Discharge'!E$26:E$126,1),1))</f>
        <v>2.0999239186537278E-2</v>
      </c>
      <c r="H141" s="149"/>
      <c r="I141" s="149">
        <f>INDEX('Step 4 Stage Discharge'!E$26:M$126,MATCH(F141,'Step 4 Stage Discharge'!E$26:E$126,1),9)+(INDEX('Step 4 Stage Discharge'!E$26:M$126,MATCH('Step 5 Routing'!F141,'Step 4 Stage Discharge'!E$26:E$126,1)+1,9)-INDEX('Step 4 Stage Discharge'!E$26:M$126,MATCH('Step 5 Routing'!F141,'Step 4 Stage Discharge'!E$26:E$126,1),9))*('Step 5 Routing'!F141-INDEX('Step 4 Stage Discharge'!E$26:M$126,MATCH('Step 5 Routing'!F141,'Step 4 Stage Discharge'!E$26:E$126,1),1))/(INDEX('Step 4 Stage Discharge'!E$26:M$126,MATCH('Step 5 Routing'!F141,'Step 4 Stage Discharge'!E$26:E$126,1)+1,1)-INDEX('Step 4 Stage Discharge'!E$26:M$126,MATCH('Step 5 Routing'!F141,'Step 4 Stage Discharge'!E$26:E$126,1),1))</f>
        <v>7.531856721753943E-3</v>
      </c>
      <c r="J141" s="149"/>
      <c r="K141" s="6">
        <f t="shared" ref="K141:K204" si="11">IF(I141*60*D$8&gt;F141,F141,I141*60*D$8)</f>
        <v>0.4519114033052366</v>
      </c>
      <c r="L141" s="6">
        <f t="shared" ref="L141:L204" si="12">IF(F141-K141&lt;0,0,F141-K141)</f>
        <v>7.8436280449444498</v>
      </c>
    </row>
    <row r="142" spans="1:12">
      <c r="A142">
        <f t="shared" ref="A142:A205" si="13">+A141+D$8</f>
        <v>129</v>
      </c>
      <c r="B142" s="136">
        <f>IF(C$5=Data!D$3,'Step 2 Inflow Hydrograph'!H186,IF(C$5=Data!D$4,'Step 2 Inflow Hydrograph'!I186,IF(C$5=Data!D$5,'Step 2 Inflow Hydrograph'!J186,'Step 2 Inflow Hydrograph'!K186)))</f>
        <v>0</v>
      </c>
      <c r="C142" s="127"/>
      <c r="D142" s="6">
        <f t="shared" si="10"/>
        <v>0</v>
      </c>
      <c r="E142" s="6"/>
      <c r="F142" s="6">
        <f t="shared" ref="F142:F205" si="14">+L141+D142</f>
        <v>7.8436280449444498</v>
      </c>
      <c r="G142" s="149">
        <f>INDEX('Step 4 Stage Discharge'!E$26:F$126,MATCH(F142,'Step 4 Stage Discharge'!E$26:E$126,1),2)+(INDEX('Step 4 Stage Discharge'!E$26:F$126,MATCH(F142,'Step 4 Stage Discharge'!E$26:E$126,1)+1,2)-INDEX('Step 4 Stage Discharge'!E$26:F$126,MATCH(F142,'Step 4 Stage Discharge'!E$26:E$126,1),2))*(F142-INDEX('Step 4 Stage Discharge'!E$26:F$126,MATCH(F142,'Step 4 Stage Discharge'!E$26:E$126,1),1))/(INDEX('Step 4 Stage Discharge'!E$26:F$126,MATCH(F142,'Step 4 Stage Discharge'!E$26:E$126,1)+1,1)-INDEX('Step 4 Stage Discharge'!E$26:F$126,MATCH(F142,'Step 4 Stage Discharge'!E$26:E$126,1),1))</f>
        <v>1.985527552891973E-2</v>
      </c>
      <c r="H142" s="149"/>
      <c r="I142" s="149">
        <f>INDEX('Step 4 Stage Discharge'!E$26:M$126,MATCH(F142,'Step 4 Stage Discharge'!E$26:E$126,1),9)+(INDEX('Step 4 Stage Discharge'!E$26:M$126,MATCH('Step 5 Routing'!F142,'Step 4 Stage Discharge'!E$26:E$126,1)+1,9)-INDEX('Step 4 Stage Discharge'!E$26:M$126,MATCH('Step 5 Routing'!F142,'Step 4 Stage Discharge'!E$26:E$126,1),9))*('Step 5 Routing'!F142-INDEX('Step 4 Stage Discharge'!E$26:M$126,MATCH('Step 5 Routing'!F142,'Step 4 Stage Discharge'!E$26:E$126,1),1))/(INDEX('Step 4 Stage Discharge'!E$26:M$126,MATCH('Step 5 Routing'!F142,'Step 4 Stage Discharge'!E$26:E$126,1)+1,1)-INDEX('Step 4 Stage Discharge'!E$26:M$126,MATCH('Step 5 Routing'!F142,'Step 4 Stage Discharge'!E$26:E$126,1),1))</f>
        <v>7.3592800897955939E-3</v>
      </c>
      <c r="J142" s="149"/>
      <c r="K142" s="6">
        <f t="shared" si="11"/>
        <v>0.44155680538773562</v>
      </c>
      <c r="L142" s="6">
        <f t="shared" si="12"/>
        <v>7.4020712395567143</v>
      </c>
    </row>
    <row r="143" spans="1:12">
      <c r="A143">
        <f t="shared" si="13"/>
        <v>130</v>
      </c>
      <c r="B143" s="136">
        <f>IF(C$5=Data!D$3,'Step 2 Inflow Hydrograph'!H187,IF(C$5=Data!D$4,'Step 2 Inflow Hydrograph'!I187,IF(C$5=Data!D$5,'Step 2 Inflow Hydrograph'!J187,'Step 2 Inflow Hydrograph'!K187)))</f>
        <v>0</v>
      </c>
      <c r="C143" s="127"/>
      <c r="D143" s="6">
        <f t="shared" si="10"/>
        <v>0</v>
      </c>
      <c r="E143" s="6"/>
      <c r="F143" s="6">
        <f t="shared" si="14"/>
        <v>7.4020712395567143</v>
      </c>
      <c r="G143" s="149">
        <f>INDEX('Step 4 Stage Discharge'!E$26:F$126,MATCH(F143,'Step 4 Stage Discharge'!E$26:E$126,1),2)+(INDEX('Step 4 Stage Discharge'!E$26:F$126,MATCH(F143,'Step 4 Stage Discharge'!E$26:E$126,1)+1,2)-INDEX('Step 4 Stage Discharge'!E$26:F$126,MATCH(F143,'Step 4 Stage Discharge'!E$26:E$126,1),2))*(F143-INDEX('Step 4 Stage Discharge'!E$26:F$126,MATCH(F143,'Step 4 Stage Discharge'!E$26:E$126,1),1))/(INDEX('Step 4 Stage Discharge'!E$26:F$126,MATCH(F143,'Step 4 Stage Discharge'!E$26:E$126,1)+1,1)-INDEX('Step 4 Stage Discharge'!E$26:F$126,MATCH(F143,'Step 4 Stage Discharge'!E$26:E$126,1),1))</f>
        <v>1.8737523388914323E-2</v>
      </c>
      <c r="H143" s="149"/>
      <c r="I143" s="149">
        <f>INDEX('Step 4 Stage Discharge'!E$26:M$126,MATCH(F143,'Step 4 Stage Discharge'!E$26:E$126,1),9)+(INDEX('Step 4 Stage Discharge'!E$26:M$126,MATCH('Step 5 Routing'!F143,'Step 4 Stage Discharge'!E$26:E$126,1)+1,9)-INDEX('Step 4 Stage Discharge'!E$26:M$126,MATCH('Step 5 Routing'!F143,'Step 4 Stage Discharge'!E$26:E$126,1),9))*('Step 5 Routing'!F143-INDEX('Step 4 Stage Discharge'!E$26:M$126,MATCH('Step 5 Routing'!F143,'Step 4 Stage Discharge'!E$26:E$126,1),1))/(INDEX('Step 4 Stage Discharge'!E$26:M$126,MATCH('Step 5 Routing'!F143,'Step 4 Stage Discharge'!E$26:E$126,1)+1,1)-INDEX('Step 4 Stage Discharge'!E$26:M$126,MATCH('Step 5 Routing'!F143,'Step 4 Stage Discharge'!E$26:E$126,1),1))</f>
        <v>7.1906576878496232E-3</v>
      </c>
      <c r="J143" s="149"/>
      <c r="K143" s="6">
        <f t="shared" si="11"/>
        <v>0.43143946127097738</v>
      </c>
      <c r="L143" s="6">
        <f t="shared" si="12"/>
        <v>6.9706317782857372</v>
      </c>
    </row>
    <row r="144" spans="1:12">
      <c r="A144">
        <f t="shared" si="13"/>
        <v>131</v>
      </c>
      <c r="B144" s="136">
        <f>IF(C$5=Data!D$3,'Step 2 Inflow Hydrograph'!H188,IF(C$5=Data!D$4,'Step 2 Inflow Hydrograph'!I188,IF(C$5=Data!D$5,'Step 2 Inflow Hydrograph'!J188,'Step 2 Inflow Hydrograph'!K188)))</f>
        <v>0</v>
      </c>
      <c r="C144" s="127"/>
      <c r="D144" s="6">
        <f t="shared" si="10"/>
        <v>0</v>
      </c>
      <c r="E144" s="6"/>
      <c r="F144" s="6">
        <f t="shared" si="14"/>
        <v>6.9706317782857372</v>
      </c>
      <c r="G144" s="149">
        <f>INDEX('Step 4 Stage Discharge'!E$26:F$126,MATCH(F144,'Step 4 Stage Discharge'!E$26:E$126,1),2)+(INDEX('Step 4 Stage Discharge'!E$26:F$126,MATCH(F144,'Step 4 Stage Discharge'!E$26:E$126,1)+1,2)-INDEX('Step 4 Stage Discharge'!E$26:F$126,MATCH(F144,'Step 4 Stage Discharge'!E$26:E$126,1),2))*(F144-INDEX('Step 4 Stage Discharge'!E$26:F$126,MATCH(F144,'Step 4 Stage Discharge'!E$26:E$126,1),1))/(INDEX('Step 4 Stage Discharge'!E$26:F$126,MATCH(F144,'Step 4 Stage Discharge'!E$26:E$126,1)+1,1)-INDEX('Step 4 Stage Discharge'!E$26:F$126,MATCH(F144,'Step 4 Stage Discharge'!E$26:E$126,1),1))</f>
        <v>1.7645382184805936E-2</v>
      </c>
      <c r="H144" s="149"/>
      <c r="I144" s="149">
        <f>INDEX('Step 4 Stage Discharge'!E$26:M$126,MATCH(F144,'Step 4 Stage Discharge'!E$26:E$126,1),9)+(INDEX('Step 4 Stage Discharge'!E$26:M$126,MATCH('Step 5 Routing'!F144,'Step 4 Stage Discharge'!E$26:E$126,1)+1,9)-INDEX('Step 4 Stage Discharge'!E$26:M$126,MATCH('Step 5 Routing'!F144,'Step 4 Stage Discharge'!E$26:E$126,1),9))*('Step 5 Routing'!F144-INDEX('Step 4 Stage Discharge'!E$26:M$126,MATCH('Step 5 Routing'!F144,'Step 4 Stage Discharge'!E$26:E$126,1),1))/(INDEX('Step 4 Stage Discharge'!E$26:M$126,MATCH('Step 5 Routing'!F144,'Step 4 Stage Discharge'!E$26:E$126,1)+1,1)-INDEX('Step 4 Stage Discharge'!E$26:M$126,MATCH('Step 5 Routing'!F144,'Step 4 Stage Discharge'!E$26:E$126,1),1))</f>
        <v>7.0258989130643386E-3</v>
      </c>
      <c r="J144" s="149"/>
      <c r="K144" s="6">
        <f t="shared" si="11"/>
        <v>0.42155393478386033</v>
      </c>
      <c r="L144" s="6">
        <f t="shared" si="12"/>
        <v>6.5490778435018768</v>
      </c>
    </row>
    <row r="145" spans="1:12">
      <c r="A145">
        <f t="shared" si="13"/>
        <v>132</v>
      </c>
      <c r="B145" s="136">
        <f>IF(C$5=Data!D$3,'Step 2 Inflow Hydrograph'!H189,IF(C$5=Data!D$4,'Step 2 Inflow Hydrograph'!I189,IF(C$5=Data!D$5,'Step 2 Inflow Hydrograph'!J189,'Step 2 Inflow Hydrograph'!K189)))</f>
        <v>0</v>
      </c>
      <c r="C145" s="127"/>
      <c r="D145" s="6">
        <f t="shared" si="10"/>
        <v>0</v>
      </c>
      <c r="E145" s="6"/>
      <c r="F145" s="6">
        <f t="shared" si="14"/>
        <v>6.5490778435018768</v>
      </c>
      <c r="G145" s="149">
        <f>INDEX('Step 4 Stage Discharge'!E$26:F$126,MATCH(F145,'Step 4 Stage Discharge'!E$26:E$126,1),2)+(INDEX('Step 4 Stage Discharge'!E$26:F$126,MATCH(F145,'Step 4 Stage Discharge'!E$26:E$126,1)+1,2)-INDEX('Step 4 Stage Discharge'!E$26:F$126,MATCH(F145,'Step 4 Stage Discharge'!E$26:E$126,1),2))*(F145-INDEX('Step 4 Stage Discharge'!E$26:F$126,MATCH(F145,'Step 4 Stage Discharge'!E$26:E$126,1),1))/(INDEX('Step 4 Stage Discharge'!E$26:F$126,MATCH(F145,'Step 4 Stage Discharge'!E$26:E$126,1)+1,1)-INDEX('Step 4 Stage Discharge'!E$26:F$126,MATCH(F145,'Step 4 Stage Discharge'!E$26:E$126,1),1))</f>
        <v>1.65782650959444E-2</v>
      </c>
      <c r="H145" s="149"/>
      <c r="I145" s="149">
        <f>INDEX('Step 4 Stage Discharge'!E$26:M$126,MATCH(F145,'Step 4 Stage Discharge'!E$26:E$126,1),9)+(INDEX('Step 4 Stage Discharge'!E$26:M$126,MATCH('Step 5 Routing'!F145,'Step 4 Stage Discharge'!E$26:E$126,1)+1,9)-INDEX('Step 4 Stage Discharge'!E$26:M$126,MATCH('Step 5 Routing'!F145,'Step 4 Stage Discharge'!E$26:E$126,1),9))*('Step 5 Routing'!F145-INDEX('Step 4 Stage Discharge'!E$26:M$126,MATCH('Step 5 Routing'!F145,'Step 4 Stage Discharge'!E$26:E$126,1),1))/(INDEX('Step 4 Stage Discharge'!E$26:M$126,MATCH('Step 5 Routing'!F145,'Step 4 Stage Discharge'!E$26:E$126,1)+1,1)-INDEX('Step 4 Stage Discharge'!E$26:M$126,MATCH('Step 5 Routing'!F145,'Step 4 Stage Discharge'!E$26:E$126,1),1))</f>
        <v>6.8649152385615517E-3</v>
      </c>
      <c r="J145" s="149"/>
      <c r="K145" s="6">
        <f t="shared" si="11"/>
        <v>0.41189491431369307</v>
      </c>
      <c r="L145" s="6">
        <f t="shared" si="12"/>
        <v>6.1371829291881834</v>
      </c>
    </row>
    <row r="146" spans="1:12">
      <c r="A146">
        <f t="shared" si="13"/>
        <v>133</v>
      </c>
      <c r="B146" s="136">
        <f>IF(C$5=Data!D$3,'Step 2 Inflow Hydrograph'!H190,IF(C$5=Data!D$4,'Step 2 Inflow Hydrograph'!I190,IF(C$5=Data!D$5,'Step 2 Inflow Hydrograph'!J190,'Step 2 Inflow Hydrograph'!K190)))</f>
        <v>0</v>
      </c>
      <c r="C146" s="127"/>
      <c r="D146" s="6">
        <f t="shared" si="10"/>
        <v>0</v>
      </c>
      <c r="E146" s="6"/>
      <c r="F146" s="6">
        <f t="shared" si="14"/>
        <v>6.1371829291881834</v>
      </c>
      <c r="G146" s="149">
        <f>INDEX('Step 4 Stage Discharge'!E$26:F$126,MATCH(F146,'Step 4 Stage Discharge'!E$26:E$126,1),2)+(INDEX('Step 4 Stage Discharge'!E$26:F$126,MATCH(F146,'Step 4 Stage Discharge'!E$26:E$126,1)+1,2)-INDEX('Step 4 Stage Discharge'!E$26:F$126,MATCH(F146,'Step 4 Stage Discharge'!E$26:E$126,1),2))*(F146-INDEX('Step 4 Stage Discharge'!E$26:F$126,MATCH(F146,'Step 4 Stage Discharge'!E$26:E$126,1),1))/(INDEX('Step 4 Stage Discharge'!E$26:F$126,MATCH(F146,'Step 4 Stage Discharge'!E$26:E$126,1)+1,1)-INDEX('Step 4 Stage Discharge'!E$26:F$126,MATCH(F146,'Step 4 Stage Discharge'!E$26:E$126,1),1))</f>
        <v>1.5535598747438699E-2</v>
      </c>
      <c r="H146" s="149"/>
      <c r="I146" s="149">
        <f>INDEX('Step 4 Stage Discharge'!E$26:M$126,MATCH(F146,'Step 4 Stage Discharge'!E$26:E$126,1),9)+(INDEX('Step 4 Stage Discharge'!E$26:M$126,MATCH('Step 5 Routing'!F146,'Step 4 Stage Discharge'!E$26:E$126,1)+1,9)-INDEX('Step 4 Stage Discharge'!E$26:M$126,MATCH('Step 5 Routing'!F146,'Step 4 Stage Discharge'!E$26:E$126,1),9))*('Step 5 Routing'!F146-INDEX('Step 4 Stage Discharge'!E$26:M$126,MATCH('Step 5 Routing'!F146,'Step 4 Stage Discharge'!E$26:E$126,1),1))/(INDEX('Step 4 Stage Discharge'!E$26:M$126,MATCH('Step 5 Routing'!F146,'Step 4 Stage Discharge'!E$26:E$126,1)+1,1)-INDEX('Step 4 Stage Discharge'!E$26:M$126,MATCH('Step 5 Routing'!F146,'Step 4 Stage Discharge'!E$26:E$126,1),1))</f>
        <v>6.7076201658700192E-3</v>
      </c>
      <c r="J146" s="149"/>
      <c r="K146" s="6">
        <f t="shared" si="11"/>
        <v>0.40245720995220113</v>
      </c>
      <c r="L146" s="6">
        <f t="shared" si="12"/>
        <v>5.734725719235982</v>
      </c>
    </row>
    <row r="147" spans="1:12">
      <c r="A147">
        <f t="shared" si="13"/>
        <v>134</v>
      </c>
      <c r="B147" s="136">
        <f>IF(C$5=Data!D$3,'Step 2 Inflow Hydrograph'!H191,IF(C$5=Data!D$4,'Step 2 Inflow Hydrograph'!I191,IF(C$5=Data!D$5,'Step 2 Inflow Hydrograph'!J191,'Step 2 Inflow Hydrograph'!K191)))</f>
        <v>0</v>
      </c>
      <c r="C147" s="127"/>
      <c r="D147" s="6">
        <f t="shared" si="10"/>
        <v>0</v>
      </c>
      <c r="E147" s="6"/>
      <c r="F147" s="6">
        <f t="shared" si="14"/>
        <v>5.734725719235982</v>
      </c>
      <c r="G147" s="149">
        <f>INDEX('Step 4 Stage Discharge'!E$26:F$126,MATCH(F147,'Step 4 Stage Discharge'!E$26:E$126,1),2)+(INDEX('Step 4 Stage Discharge'!E$26:F$126,MATCH(F147,'Step 4 Stage Discharge'!E$26:E$126,1)+1,2)-INDEX('Step 4 Stage Discharge'!E$26:F$126,MATCH(F147,'Step 4 Stage Discharge'!E$26:E$126,1),2))*(F147-INDEX('Step 4 Stage Discharge'!E$26:F$126,MATCH(F147,'Step 4 Stage Discharge'!E$26:E$126,1),1))/(INDEX('Step 4 Stage Discharge'!E$26:F$126,MATCH(F147,'Step 4 Stage Discharge'!E$26:E$126,1)+1,1)-INDEX('Step 4 Stage Discharge'!E$26:F$126,MATCH(F147,'Step 4 Stage Discharge'!E$26:E$126,1),1))</f>
        <v>1.4516822902075692E-2</v>
      </c>
      <c r="H147" s="149"/>
      <c r="I147" s="149">
        <f>INDEX('Step 4 Stage Discharge'!E$26:M$126,MATCH(F147,'Step 4 Stage Discharge'!E$26:E$126,1),9)+(INDEX('Step 4 Stage Discharge'!E$26:M$126,MATCH('Step 5 Routing'!F147,'Step 4 Stage Discharge'!E$26:E$126,1)+1,9)-INDEX('Step 4 Stage Discharge'!E$26:M$126,MATCH('Step 5 Routing'!F147,'Step 4 Stage Discharge'!E$26:E$126,1),9))*('Step 5 Routing'!F147-INDEX('Step 4 Stage Discharge'!E$26:M$126,MATCH('Step 5 Routing'!F147,'Step 4 Stage Discharge'!E$26:E$126,1),1))/(INDEX('Step 4 Stage Discharge'!E$26:M$126,MATCH('Step 5 Routing'!F147,'Step 4 Stage Discharge'!E$26:E$126,1)+1,1)-INDEX('Step 4 Stage Discharge'!E$26:M$126,MATCH('Step 5 Routing'!F147,'Step 4 Stage Discharge'!E$26:E$126,1),1))</f>
        <v>6.5539291784487688E-3</v>
      </c>
      <c r="J147" s="149"/>
      <c r="K147" s="6">
        <f t="shared" si="11"/>
        <v>0.39323575070692612</v>
      </c>
      <c r="L147" s="6">
        <f t="shared" si="12"/>
        <v>5.3414899685290562</v>
      </c>
    </row>
    <row r="148" spans="1:12">
      <c r="A148">
        <f t="shared" si="13"/>
        <v>135</v>
      </c>
      <c r="B148" s="136">
        <f>IF(C$5=Data!D$3,'Step 2 Inflow Hydrograph'!H192,IF(C$5=Data!D$4,'Step 2 Inflow Hydrograph'!I192,IF(C$5=Data!D$5,'Step 2 Inflow Hydrograph'!J192,'Step 2 Inflow Hydrograph'!K192)))</f>
        <v>0</v>
      </c>
      <c r="C148" s="127"/>
      <c r="D148" s="6">
        <f t="shared" si="10"/>
        <v>0</v>
      </c>
      <c r="E148" s="6"/>
      <c r="F148" s="6">
        <f t="shared" si="14"/>
        <v>5.3414899685290562</v>
      </c>
      <c r="G148" s="149">
        <f>INDEX('Step 4 Stage Discharge'!E$26:F$126,MATCH(F148,'Step 4 Stage Discharge'!E$26:E$126,1),2)+(INDEX('Step 4 Stage Discharge'!E$26:F$126,MATCH(F148,'Step 4 Stage Discharge'!E$26:E$126,1)+1,2)-INDEX('Step 4 Stage Discharge'!E$26:F$126,MATCH(F148,'Step 4 Stage Discharge'!E$26:E$126,1),2))*(F148-INDEX('Step 4 Stage Discharge'!E$26:F$126,MATCH(F148,'Step 4 Stage Discharge'!E$26:E$126,1),1))/(INDEX('Step 4 Stage Discharge'!E$26:F$126,MATCH(F148,'Step 4 Stage Discharge'!E$26:E$126,1)+1,1)-INDEX('Step 4 Stage Discharge'!E$26:F$126,MATCH(F148,'Step 4 Stage Discharge'!E$26:E$126,1),1))</f>
        <v>1.3521390159297934E-2</v>
      </c>
      <c r="H148" s="149"/>
      <c r="I148" s="149">
        <f>INDEX('Step 4 Stage Discharge'!E$26:M$126,MATCH(F148,'Step 4 Stage Discharge'!E$26:E$126,1),9)+(INDEX('Step 4 Stage Discharge'!E$26:M$126,MATCH('Step 5 Routing'!F148,'Step 4 Stage Discharge'!E$26:E$126,1)+1,9)-INDEX('Step 4 Stage Discharge'!E$26:M$126,MATCH('Step 5 Routing'!F148,'Step 4 Stage Discharge'!E$26:E$126,1),9))*('Step 5 Routing'!F148-INDEX('Step 4 Stage Discharge'!E$26:M$126,MATCH('Step 5 Routing'!F148,'Step 4 Stage Discharge'!E$26:E$126,1),1))/(INDEX('Step 4 Stage Discharge'!E$26:M$126,MATCH('Step 5 Routing'!F148,'Step 4 Stage Discharge'!E$26:E$126,1)+1,1)-INDEX('Step 4 Stage Discharge'!E$26:M$126,MATCH('Step 5 Routing'!F148,'Step 4 Stage Discharge'!E$26:E$126,1),1))</f>
        <v>6.4037596962753414E-3</v>
      </c>
      <c r="J148" s="149"/>
      <c r="K148" s="6">
        <f t="shared" si="11"/>
        <v>0.3842255817765205</v>
      </c>
      <c r="L148" s="6">
        <f t="shared" si="12"/>
        <v>4.9572643867525361</v>
      </c>
    </row>
    <row r="149" spans="1:12">
      <c r="A149">
        <f t="shared" si="13"/>
        <v>136</v>
      </c>
      <c r="B149" s="136">
        <f>IF(C$5=Data!D$3,'Step 2 Inflow Hydrograph'!H193,IF(C$5=Data!D$4,'Step 2 Inflow Hydrograph'!I193,IF(C$5=Data!D$5,'Step 2 Inflow Hydrograph'!J193,'Step 2 Inflow Hydrograph'!K193)))</f>
        <v>0</v>
      </c>
      <c r="C149" s="127"/>
      <c r="D149" s="6">
        <f t="shared" si="10"/>
        <v>0</v>
      </c>
      <c r="E149" s="6"/>
      <c r="F149" s="6">
        <f t="shared" si="14"/>
        <v>4.9572643867525361</v>
      </c>
      <c r="G149" s="149">
        <f>INDEX('Step 4 Stage Discharge'!E$26:F$126,MATCH(F149,'Step 4 Stage Discharge'!E$26:E$126,1),2)+(INDEX('Step 4 Stage Discharge'!E$26:F$126,MATCH(F149,'Step 4 Stage Discharge'!E$26:E$126,1)+1,2)-INDEX('Step 4 Stage Discharge'!E$26:F$126,MATCH(F149,'Step 4 Stage Discharge'!E$26:E$126,1),2))*(F149-INDEX('Step 4 Stage Discharge'!E$26:F$126,MATCH(F149,'Step 4 Stage Discharge'!E$26:E$126,1),1))/(INDEX('Step 4 Stage Discharge'!E$26:F$126,MATCH(F149,'Step 4 Stage Discharge'!E$26:E$126,1)+1,1)-INDEX('Step 4 Stage Discharge'!E$26:F$126,MATCH(F149,'Step 4 Stage Discharge'!E$26:E$126,1),1))</f>
        <v>1.2548765661078714E-2</v>
      </c>
      <c r="H149" s="149"/>
      <c r="I149" s="149">
        <f>INDEX('Step 4 Stage Discharge'!E$26:M$126,MATCH(F149,'Step 4 Stage Discharge'!E$26:E$126,1),9)+(INDEX('Step 4 Stage Discharge'!E$26:M$126,MATCH('Step 5 Routing'!F149,'Step 4 Stage Discharge'!E$26:E$126,1)+1,9)-INDEX('Step 4 Stage Discharge'!E$26:M$126,MATCH('Step 5 Routing'!F149,'Step 4 Stage Discharge'!E$26:E$126,1),9))*('Step 5 Routing'!F149-INDEX('Step 4 Stage Discharge'!E$26:M$126,MATCH('Step 5 Routing'!F149,'Step 4 Stage Discharge'!E$26:E$126,1),1))/(INDEX('Step 4 Stage Discharge'!E$26:M$126,MATCH('Step 5 Routing'!F149,'Step 4 Stage Discharge'!E$26:E$126,1)+1,1)-INDEX('Step 4 Stage Discharge'!E$26:M$126,MATCH('Step 5 Routing'!F149,'Step 4 Stage Discharge'!E$26:E$126,1),1))</f>
        <v>6.2570310314745518E-3</v>
      </c>
      <c r="J149" s="149"/>
      <c r="K149" s="6">
        <f t="shared" si="11"/>
        <v>0.3754218618884731</v>
      </c>
      <c r="L149" s="6">
        <f t="shared" si="12"/>
        <v>4.5818425248640633</v>
      </c>
    </row>
    <row r="150" spans="1:12">
      <c r="A150">
        <f t="shared" si="13"/>
        <v>137</v>
      </c>
      <c r="B150" s="136">
        <f>IF(C$5=Data!D$3,'Step 2 Inflow Hydrograph'!H194,IF(C$5=Data!D$4,'Step 2 Inflow Hydrograph'!I194,IF(C$5=Data!D$5,'Step 2 Inflow Hydrograph'!J194,'Step 2 Inflow Hydrograph'!K194)))</f>
        <v>0</v>
      </c>
      <c r="C150" s="127"/>
      <c r="D150" s="6">
        <f t="shared" si="10"/>
        <v>0</v>
      </c>
      <c r="E150" s="6"/>
      <c r="F150" s="6">
        <f t="shared" si="14"/>
        <v>4.5818425248640633</v>
      </c>
      <c r="G150" s="149">
        <f>INDEX('Step 4 Stage Discharge'!E$26:F$126,MATCH(F150,'Step 4 Stage Discharge'!E$26:E$126,1),2)+(INDEX('Step 4 Stage Discharge'!E$26:F$126,MATCH(F150,'Step 4 Stage Discharge'!E$26:E$126,1)+1,2)-INDEX('Step 4 Stage Discharge'!E$26:F$126,MATCH(F150,'Step 4 Stage Discharge'!E$26:E$126,1),2))*(F150-INDEX('Step 4 Stage Discharge'!E$26:F$126,MATCH(F150,'Step 4 Stage Discharge'!E$26:E$126,1),1))/(INDEX('Step 4 Stage Discharge'!E$26:F$126,MATCH(F150,'Step 4 Stage Discharge'!E$26:E$126,1)+1,1)-INDEX('Step 4 Stage Discharge'!E$26:F$126,MATCH(F150,'Step 4 Stage Discharge'!E$26:E$126,1),1))</f>
        <v>1.159842680453641E-2</v>
      </c>
      <c r="H150" s="149"/>
      <c r="I150" s="149">
        <f>INDEX('Step 4 Stage Discharge'!E$26:M$126,MATCH(F150,'Step 4 Stage Discharge'!E$26:E$126,1),9)+(INDEX('Step 4 Stage Discharge'!E$26:M$126,MATCH('Step 5 Routing'!F150,'Step 4 Stage Discharge'!E$26:E$126,1)+1,9)-INDEX('Step 4 Stage Discharge'!E$26:M$126,MATCH('Step 5 Routing'!F150,'Step 4 Stage Discharge'!E$26:E$126,1),9))*('Step 5 Routing'!F150-INDEX('Step 4 Stage Discharge'!E$26:M$126,MATCH('Step 5 Routing'!F150,'Step 4 Stage Discharge'!E$26:E$126,1),1))/(INDEX('Step 4 Stage Discharge'!E$26:M$126,MATCH('Step 5 Routing'!F150,'Step 4 Stage Discharge'!E$26:E$126,1)+1,1)-INDEX('Step 4 Stage Discharge'!E$26:M$126,MATCH('Step 5 Routing'!F150,'Step 4 Stage Discharge'!E$26:E$126,1),1))</f>
        <v>6.1136643449639129E-3</v>
      </c>
      <c r="J150" s="149"/>
      <c r="K150" s="6">
        <f t="shared" si="11"/>
        <v>0.36681986069783479</v>
      </c>
      <c r="L150" s="6">
        <f t="shared" si="12"/>
        <v>4.2150226641662289</v>
      </c>
    </row>
    <row r="151" spans="1:12">
      <c r="A151">
        <f t="shared" si="13"/>
        <v>138</v>
      </c>
      <c r="B151" s="136">
        <f>IF(C$5=Data!D$3,'Step 2 Inflow Hydrograph'!H195,IF(C$5=Data!D$4,'Step 2 Inflow Hydrograph'!I195,IF(C$5=Data!D$5,'Step 2 Inflow Hydrograph'!J195,'Step 2 Inflow Hydrograph'!K195)))</f>
        <v>0</v>
      </c>
      <c r="C151" s="127"/>
      <c r="D151" s="6">
        <f t="shared" si="10"/>
        <v>0</v>
      </c>
      <c r="E151" s="6"/>
      <c r="F151" s="6">
        <f t="shared" si="14"/>
        <v>4.2150226641662289</v>
      </c>
      <c r="G151" s="149">
        <f>INDEX('Step 4 Stage Discharge'!E$26:F$126,MATCH(F151,'Step 4 Stage Discharge'!E$26:E$126,1),2)+(INDEX('Step 4 Stage Discharge'!E$26:F$126,MATCH(F151,'Step 4 Stage Discharge'!E$26:E$126,1)+1,2)-INDEX('Step 4 Stage Discharge'!E$26:F$126,MATCH(F151,'Step 4 Stage Discharge'!E$26:E$126,1),2))*(F151-INDEX('Step 4 Stage Discharge'!E$26:F$126,MATCH(F151,'Step 4 Stage Discharge'!E$26:E$126,1),1))/(INDEX('Step 4 Stage Discharge'!E$26:F$126,MATCH(F151,'Step 4 Stage Discharge'!E$26:E$126,1)+1,1)-INDEX('Step 4 Stage Discharge'!E$26:F$126,MATCH(F151,'Step 4 Stage Discharge'!E$26:E$126,1),1))</f>
        <v>1.0669862961133628E-2</v>
      </c>
      <c r="H151" s="149"/>
      <c r="I151" s="149">
        <f>INDEX('Step 4 Stage Discharge'!E$26:M$126,MATCH(F151,'Step 4 Stage Discharge'!E$26:E$126,1),9)+(INDEX('Step 4 Stage Discharge'!E$26:M$126,MATCH('Step 5 Routing'!F151,'Step 4 Stage Discharge'!E$26:E$126,1)+1,9)-INDEX('Step 4 Stage Discharge'!E$26:M$126,MATCH('Step 5 Routing'!F151,'Step 4 Stage Discharge'!E$26:E$126,1),9))*('Step 5 Routing'!F151-INDEX('Step 4 Stage Discharge'!E$26:M$126,MATCH('Step 5 Routing'!F151,'Step 4 Stage Discharge'!E$26:E$126,1),1))/(INDEX('Step 4 Stage Discharge'!E$26:M$126,MATCH('Step 5 Routing'!F151,'Step 4 Stage Discharge'!E$26:E$126,1)+1,1)-INDEX('Step 4 Stage Discharge'!E$26:M$126,MATCH('Step 5 Routing'!F151,'Step 4 Stage Discharge'!E$26:E$126,1),1))</f>
        <v>5.9735826040924513E-3</v>
      </c>
      <c r="J151" s="149"/>
      <c r="K151" s="6">
        <f t="shared" si="11"/>
        <v>0.35841495624554709</v>
      </c>
      <c r="L151" s="6">
        <f t="shared" si="12"/>
        <v>3.856607707920682</v>
      </c>
    </row>
    <row r="152" spans="1:12">
      <c r="A152">
        <f t="shared" si="13"/>
        <v>139</v>
      </c>
      <c r="B152" s="136">
        <f>IF(C$5=Data!D$3,'Step 2 Inflow Hydrograph'!H196,IF(C$5=Data!D$4,'Step 2 Inflow Hydrograph'!I196,IF(C$5=Data!D$5,'Step 2 Inflow Hydrograph'!J196,'Step 2 Inflow Hydrograph'!K196)))</f>
        <v>0</v>
      </c>
      <c r="C152" s="127"/>
      <c r="D152" s="6">
        <f t="shared" si="10"/>
        <v>0</v>
      </c>
      <c r="E152" s="6"/>
      <c r="F152" s="6">
        <f t="shared" si="14"/>
        <v>3.856607707920682</v>
      </c>
      <c r="G152" s="149">
        <f>INDEX('Step 4 Stage Discharge'!E$26:F$126,MATCH(F152,'Step 4 Stage Discharge'!E$26:E$126,1),2)+(INDEX('Step 4 Stage Discharge'!E$26:F$126,MATCH(F152,'Step 4 Stage Discharge'!E$26:E$126,1)+1,2)-INDEX('Step 4 Stage Discharge'!E$26:F$126,MATCH(F152,'Step 4 Stage Discharge'!E$26:E$126,1),2))*(F152-INDEX('Step 4 Stage Discharge'!E$26:F$126,MATCH(F152,'Step 4 Stage Discharge'!E$26:E$126,1),1))/(INDEX('Step 4 Stage Discharge'!E$26:F$126,MATCH(F152,'Step 4 Stage Discharge'!E$26:E$126,1)+1,1)-INDEX('Step 4 Stage Discharge'!E$26:F$126,MATCH(F152,'Step 4 Stage Discharge'!E$26:E$126,1),1))</f>
        <v>9.7625752023103533E-3</v>
      </c>
      <c r="H152" s="149"/>
      <c r="I152" s="149">
        <f>INDEX('Step 4 Stage Discharge'!E$26:M$126,MATCH(F152,'Step 4 Stage Discharge'!E$26:E$126,1),9)+(INDEX('Step 4 Stage Discharge'!E$26:M$126,MATCH('Step 5 Routing'!F152,'Step 4 Stage Discharge'!E$26:E$126,1)+1,9)-INDEX('Step 4 Stage Discharge'!E$26:M$126,MATCH('Step 5 Routing'!F152,'Step 4 Stage Discharge'!E$26:E$126,1),9))*('Step 5 Routing'!F152-INDEX('Step 4 Stage Discharge'!E$26:M$126,MATCH('Step 5 Routing'!F152,'Step 4 Stage Discharge'!E$26:E$126,1),1))/(INDEX('Step 4 Stage Discharge'!E$26:M$126,MATCH('Step 5 Routing'!F152,'Step 4 Stage Discharge'!E$26:E$126,1)+1,1)-INDEX('Step 4 Stage Discharge'!E$26:M$126,MATCH('Step 5 Routing'!F152,'Step 4 Stage Discharge'!E$26:E$126,1),1))</f>
        <v>5.8367105412501317E-3</v>
      </c>
      <c r="J152" s="149"/>
      <c r="K152" s="6">
        <f t="shared" si="11"/>
        <v>0.35020263247500788</v>
      </c>
      <c r="L152" s="6">
        <f t="shared" si="12"/>
        <v>3.5064050754456741</v>
      </c>
    </row>
    <row r="153" spans="1:12">
      <c r="A153">
        <f t="shared" si="13"/>
        <v>140</v>
      </c>
      <c r="B153" s="136">
        <f>IF(C$5=Data!D$3,'Step 2 Inflow Hydrograph'!H197,IF(C$5=Data!D$4,'Step 2 Inflow Hydrograph'!I197,IF(C$5=Data!D$5,'Step 2 Inflow Hydrograph'!J197,'Step 2 Inflow Hydrograph'!K197)))</f>
        <v>0</v>
      </c>
      <c r="C153" s="127"/>
      <c r="D153" s="6">
        <f t="shared" si="10"/>
        <v>0</v>
      </c>
      <c r="E153" s="6"/>
      <c r="F153" s="6">
        <f t="shared" si="14"/>
        <v>3.5064050754456741</v>
      </c>
      <c r="G153" s="149">
        <f>INDEX('Step 4 Stage Discharge'!E$26:F$126,MATCH(F153,'Step 4 Stage Discharge'!E$26:E$126,1),2)+(INDEX('Step 4 Stage Discharge'!E$26:F$126,MATCH(F153,'Step 4 Stage Discharge'!E$26:E$126,1)+1,2)-INDEX('Step 4 Stage Discharge'!E$26:F$126,MATCH(F153,'Step 4 Stage Discharge'!E$26:E$126,1),2))*(F153-INDEX('Step 4 Stage Discharge'!E$26:F$126,MATCH(F153,'Step 4 Stage Discharge'!E$26:E$126,1),1))/(INDEX('Step 4 Stage Discharge'!E$26:F$126,MATCH(F153,'Step 4 Stage Discharge'!E$26:E$126,1)+1,1)-INDEX('Step 4 Stage Discharge'!E$26:F$126,MATCH(F153,'Step 4 Stage Discharge'!E$26:E$126,1),1))</f>
        <v>8.8760760314035899E-3</v>
      </c>
      <c r="H153" s="149"/>
      <c r="I153" s="149">
        <f>INDEX('Step 4 Stage Discharge'!E$26:M$126,MATCH(F153,'Step 4 Stage Discharge'!E$26:E$126,1),9)+(INDEX('Step 4 Stage Discharge'!E$26:M$126,MATCH('Step 5 Routing'!F153,'Step 4 Stage Discharge'!E$26:E$126,1)+1,9)-INDEX('Step 4 Stage Discharge'!E$26:M$126,MATCH('Step 5 Routing'!F153,'Step 4 Stage Discharge'!E$26:E$126,1),9))*('Step 5 Routing'!F153-INDEX('Step 4 Stage Discharge'!E$26:M$126,MATCH('Step 5 Routing'!F153,'Step 4 Stage Discharge'!E$26:E$126,1),1))/(INDEX('Step 4 Stage Discharge'!E$26:M$126,MATCH('Step 5 Routing'!F153,'Step 4 Stage Discharge'!E$26:E$126,1)+1,1)-INDEX('Step 4 Stage Discharge'!E$26:M$126,MATCH('Step 5 Routing'!F153,'Step 4 Stage Discharge'!E$26:E$126,1),1))</f>
        <v>5.7029746134256614E-3</v>
      </c>
      <c r="J153" s="149"/>
      <c r="K153" s="6">
        <f t="shared" si="11"/>
        <v>0.3421784768055397</v>
      </c>
      <c r="L153" s="6">
        <f t="shared" si="12"/>
        <v>3.1642265986401346</v>
      </c>
    </row>
    <row r="154" spans="1:12">
      <c r="A154">
        <f t="shared" si="13"/>
        <v>141</v>
      </c>
      <c r="B154" s="136">
        <f>IF(C$5=Data!D$3,'Step 2 Inflow Hydrograph'!H198,IF(C$5=Data!D$4,'Step 2 Inflow Hydrograph'!I198,IF(C$5=Data!D$5,'Step 2 Inflow Hydrograph'!J198,'Step 2 Inflow Hydrograph'!K198)))</f>
        <v>0</v>
      </c>
      <c r="C154" s="127"/>
      <c r="D154" s="6">
        <f t="shared" si="10"/>
        <v>0</v>
      </c>
      <c r="E154" s="6"/>
      <c r="F154" s="6">
        <f t="shared" si="14"/>
        <v>3.1642265986401346</v>
      </c>
      <c r="G154" s="149">
        <f>INDEX('Step 4 Stage Discharge'!E$26:F$126,MATCH(F154,'Step 4 Stage Discharge'!E$26:E$126,1),2)+(INDEX('Step 4 Stage Discharge'!E$26:F$126,MATCH(F154,'Step 4 Stage Discharge'!E$26:E$126,1)+1,2)-INDEX('Step 4 Stage Discharge'!E$26:F$126,MATCH(F154,'Step 4 Stage Discharge'!E$26:E$126,1),2))*(F154-INDEX('Step 4 Stage Discharge'!E$26:F$126,MATCH(F154,'Step 4 Stage Discharge'!E$26:E$126,1),1))/(INDEX('Step 4 Stage Discharge'!E$26:F$126,MATCH(F154,'Step 4 Stage Discharge'!E$26:E$126,1)+1,1)-INDEX('Step 4 Stage Discharge'!E$26:F$126,MATCH(F154,'Step 4 Stage Discharge'!E$26:E$126,1),1))</f>
        <v>8.009889121709534E-3</v>
      </c>
      <c r="H154" s="149"/>
      <c r="I154" s="149">
        <f>INDEX('Step 4 Stage Discharge'!E$26:M$126,MATCH(F154,'Step 4 Stage Discharge'!E$26:E$126,1),9)+(INDEX('Step 4 Stage Discharge'!E$26:M$126,MATCH('Step 5 Routing'!F154,'Step 4 Stage Discharge'!E$26:E$126,1)+1,9)-INDEX('Step 4 Stage Discharge'!E$26:M$126,MATCH('Step 5 Routing'!F154,'Step 4 Stage Discharge'!E$26:E$126,1),9))*('Step 5 Routing'!F154-INDEX('Step 4 Stage Discharge'!E$26:M$126,MATCH('Step 5 Routing'!F154,'Step 4 Stage Discharge'!E$26:E$126,1),1))/(INDEX('Step 4 Stage Discharge'!E$26:M$126,MATCH('Step 5 Routing'!F154,'Step 4 Stage Discharge'!E$26:E$126,1)+1,1)-INDEX('Step 4 Stage Discharge'!E$26:M$126,MATCH('Step 5 Routing'!F154,'Step 4 Stage Discharge'!E$26:E$126,1),1))</f>
        <v>5.5723029626909438E-3</v>
      </c>
      <c r="J154" s="149"/>
      <c r="K154" s="6">
        <f t="shared" si="11"/>
        <v>0.33433817776145663</v>
      </c>
      <c r="L154" s="6">
        <f t="shared" si="12"/>
        <v>2.8298884208786781</v>
      </c>
    </row>
    <row r="155" spans="1:12">
      <c r="A155">
        <f t="shared" si="13"/>
        <v>142</v>
      </c>
      <c r="B155" s="136">
        <f>IF(C$5=Data!D$3,'Step 2 Inflow Hydrograph'!H199,IF(C$5=Data!D$4,'Step 2 Inflow Hydrograph'!I199,IF(C$5=Data!D$5,'Step 2 Inflow Hydrograph'!J199,'Step 2 Inflow Hydrograph'!K199)))</f>
        <v>0</v>
      </c>
      <c r="C155" s="127"/>
      <c r="D155" s="6">
        <f t="shared" si="10"/>
        <v>0</v>
      </c>
      <c r="E155" s="6"/>
      <c r="F155" s="6">
        <f t="shared" si="14"/>
        <v>2.8298884208786781</v>
      </c>
      <c r="G155" s="149">
        <f>INDEX('Step 4 Stage Discharge'!E$26:F$126,MATCH(F155,'Step 4 Stage Discharge'!E$26:E$126,1),2)+(INDEX('Step 4 Stage Discharge'!E$26:F$126,MATCH(F155,'Step 4 Stage Discharge'!E$26:E$126,1)+1,2)-INDEX('Step 4 Stage Discharge'!E$26:F$126,MATCH(F155,'Step 4 Stage Discharge'!E$26:E$126,1),2))*(F155-INDEX('Step 4 Stage Discharge'!E$26:F$126,MATCH(F155,'Step 4 Stage Discharge'!E$26:E$126,1),1))/(INDEX('Step 4 Stage Discharge'!E$26:F$126,MATCH(F155,'Step 4 Stage Discharge'!E$26:E$126,1)+1,1)-INDEX('Step 4 Stage Discharge'!E$26:F$126,MATCH(F155,'Step 4 Stage Discharge'!E$26:E$126,1),1))</f>
        <v>7.1635490605474837E-3</v>
      </c>
      <c r="H155" s="149"/>
      <c r="I155" s="149">
        <f>INDEX('Step 4 Stage Discharge'!E$26:M$126,MATCH(F155,'Step 4 Stage Discharge'!E$26:E$126,1),9)+(INDEX('Step 4 Stage Discharge'!E$26:M$126,MATCH('Step 5 Routing'!F155,'Step 4 Stage Discharge'!E$26:E$126,1)+1,9)-INDEX('Step 4 Stage Discharge'!E$26:M$126,MATCH('Step 5 Routing'!F155,'Step 4 Stage Discharge'!E$26:E$126,1),9))*('Step 5 Routing'!F155-INDEX('Step 4 Stage Discharge'!E$26:M$126,MATCH('Step 5 Routing'!F155,'Step 4 Stage Discharge'!E$26:E$126,1),1))/(INDEX('Step 4 Stage Discharge'!E$26:M$126,MATCH('Step 5 Routing'!F155,'Step 4 Stage Discharge'!E$26:E$126,1)+1,1)-INDEX('Step 4 Stage Discharge'!E$26:M$126,MATCH('Step 5 Routing'!F155,'Step 4 Stage Discharge'!E$26:E$126,1),1))</f>
        <v>5.4446253775909462E-3</v>
      </c>
      <c r="J155" s="149"/>
      <c r="K155" s="6">
        <f t="shared" si="11"/>
        <v>0.3266775226554568</v>
      </c>
      <c r="L155" s="6">
        <f t="shared" si="12"/>
        <v>2.5032108982232213</v>
      </c>
    </row>
    <row r="156" spans="1:12">
      <c r="A156">
        <f t="shared" si="13"/>
        <v>143</v>
      </c>
      <c r="B156" s="136">
        <f>IF(C$5=Data!D$3,'Step 2 Inflow Hydrograph'!H200,IF(C$5=Data!D$4,'Step 2 Inflow Hydrograph'!I200,IF(C$5=Data!D$5,'Step 2 Inflow Hydrograph'!J200,'Step 2 Inflow Hydrograph'!K200)))</f>
        <v>0</v>
      </c>
      <c r="C156" s="127"/>
      <c r="D156" s="6">
        <f t="shared" si="10"/>
        <v>0</v>
      </c>
      <c r="E156" s="6"/>
      <c r="F156" s="6">
        <f t="shared" si="14"/>
        <v>2.5032108982232213</v>
      </c>
      <c r="G156" s="149">
        <f>INDEX('Step 4 Stage Discharge'!E$26:F$126,MATCH(F156,'Step 4 Stage Discharge'!E$26:E$126,1),2)+(INDEX('Step 4 Stage Discharge'!E$26:F$126,MATCH(F156,'Step 4 Stage Discharge'!E$26:E$126,1)+1,2)-INDEX('Step 4 Stage Discharge'!E$26:F$126,MATCH(F156,'Step 4 Stage Discharge'!E$26:E$126,1),2))*(F156-INDEX('Step 4 Stage Discharge'!E$26:F$126,MATCH(F156,'Step 4 Stage Discharge'!E$26:E$126,1),1))/(INDEX('Step 4 Stage Discharge'!E$26:F$126,MATCH(F156,'Step 4 Stage Discharge'!E$26:E$126,1)+1,1)-INDEX('Step 4 Stage Discharge'!E$26:F$126,MATCH(F156,'Step 4 Stage Discharge'!E$26:E$126,1),1))</f>
        <v>6.3366010991879841E-3</v>
      </c>
      <c r="H156" s="149"/>
      <c r="I156" s="149">
        <f>INDEX('Step 4 Stage Discharge'!E$26:M$126,MATCH(F156,'Step 4 Stage Discharge'!E$26:E$126,1),9)+(INDEX('Step 4 Stage Discharge'!E$26:M$126,MATCH('Step 5 Routing'!F156,'Step 4 Stage Discharge'!E$26:E$126,1)+1,9)-INDEX('Step 4 Stage Discharge'!E$26:M$126,MATCH('Step 5 Routing'!F156,'Step 4 Stage Discharge'!E$26:E$126,1),9))*('Step 5 Routing'!F156-INDEX('Step 4 Stage Discharge'!E$26:M$126,MATCH('Step 5 Routing'!F156,'Step 4 Stage Discharge'!E$26:E$126,1),1))/(INDEX('Step 4 Stage Discharge'!E$26:M$126,MATCH('Step 5 Routing'!F156,'Step 4 Stage Discharge'!E$26:E$126,1)+1,1)-INDEX('Step 4 Stage Discharge'!E$26:M$126,MATCH('Step 5 Routing'!F156,'Step 4 Stage Discharge'!E$26:E$126,1),1))</f>
        <v>5.3198732554182362E-3</v>
      </c>
      <c r="J156" s="149"/>
      <c r="K156" s="6">
        <f t="shared" si="11"/>
        <v>0.31919239532509419</v>
      </c>
      <c r="L156" s="6">
        <f t="shared" si="12"/>
        <v>2.1840185028981272</v>
      </c>
    </row>
    <row r="157" spans="1:12">
      <c r="A157">
        <f t="shared" si="13"/>
        <v>144</v>
      </c>
      <c r="B157" s="136">
        <f>IF(C$5=Data!D$3,'Step 2 Inflow Hydrograph'!H201,IF(C$5=Data!D$4,'Step 2 Inflow Hydrograph'!I201,IF(C$5=Data!D$5,'Step 2 Inflow Hydrograph'!J201,'Step 2 Inflow Hydrograph'!K201)))</f>
        <v>0</v>
      </c>
      <c r="C157" s="127"/>
      <c r="D157" s="6">
        <f t="shared" si="10"/>
        <v>0</v>
      </c>
      <c r="E157" s="6"/>
      <c r="F157" s="6">
        <f t="shared" si="14"/>
        <v>2.1840185028981272</v>
      </c>
      <c r="G157" s="149">
        <f>INDEX('Step 4 Stage Discharge'!E$26:F$126,MATCH(F157,'Step 4 Stage Discharge'!E$26:E$126,1),2)+(INDEX('Step 4 Stage Discharge'!E$26:F$126,MATCH(F157,'Step 4 Stage Discharge'!E$26:E$126,1)+1,2)-INDEX('Step 4 Stage Discharge'!E$26:F$126,MATCH(F157,'Step 4 Stage Discharge'!E$26:E$126,1),2))*(F157-INDEX('Step 4 Stage Discharge'!E$26:F$126,MATCH(F157,'Step 4 Stage Discharge'!E$26:E$126,1),1))/(INDEX('Step 4 Stage Discharge'!E$26:F$126,MATCH(F157,'Step 4 Stage Discharge'!E$26:E$126,1)+1,1)-INDEX('Step 4 Stage Discharge'!E$26:F$126,MATCH(F157,'Step 4 Stage Discharge'!E$26:E$126,1),1))</f>
        <v>5.5286009085108523E-3</v>
      </c>
      <c r="H157" s="149"/>
      <c r="I157" s="149">
        <f>INDEX('Step 4 Stage Discharge'!E$26:M$126,MATCH(F157,'Step 4 Stage Discharge'!E$26:E$126,1),9)+(INDEX('Step 4 Stage Discharge'!E$26:M$126,MATCH('Step 5 Routing'!F157,'Step 4 Stage Discharge'!E$26:E$126,1)+1,9)-INDEX('Step 4 Stage Discharge'!E$26:M$126,MATCH('Step 5 Routing'!F157,'Step 4 Stage Discharge'!E$26:E$126,1),9))*('Step 5 Routing'!F157-INDEX('Step 4 Stage Discharge'!E$26:M$126,MATCH('Step 5 Routing'!F157,'Step 4 Stage Discharge'!E$26:E$126,1),1))/(INDEX('Step 4 Stage Discharge'!E$26:M$126,MATCH('Step 5 Routing'!F157,'Step 4 Stage Discharge'!E$26:E$126,1)+1,1)-INDEX('Step 4 Stage Discharge'!E$26:M$126,MATCH('Step 5 Routing'!F157,'Step 4 Stage Discharge'!E$26:E$126,1),1))</f>
        <v>5.1979795653519199E-3</v>
      </c>
      <c r="J157" s="149"/>
      <c r="K157" s="6">
        <f t="shared" si="11"/>
        <v>0.31187877392111518</v>
      </c>
      <c r="L157" s="6">
        <f t="shared" si="12"/>
        <v>1.8721397289770119</v>
      </c>
    </row>
    <row r="158" spans="1:12">
      <c r="A158">
        <f t="shared" si="13"/>
        <v>145</v>
      </c>
      <c r="B158" s="136">
        <f>IF(C$5=Data!D$3,'Step 2 Inflow Hydrograph'!H202,IF(C$5=Data!D$4,'Step 2 Inflow Hydrograph'!I202,IF(C$5=Data!D$5,'Step 2 Inflow Hydrograph'!J202,'Step 2 Inflow Hydrograph'!K202)))</f>
        <v>0</v>
      </c>
      <c r="C158" s="127"/>
      <c r="D158" s="6">
        <f t="shared" si="10"/>
        <v>0</v>
      </c>
      <c r="E158" s="6"/>
      <c r="F158" s="6">
        <f t="shared" si="14"/>
        <v>1.8721397289770119</v>
      </c>
      <c r="G158" s="149">
        <f>INDEX('Step 4 Stage Discharge'!E$26:F$126,MATCH(F158,'Step 4 Stage Discharge'!E$26:E$126,1),2)+(INDEX('Step 4 Stage Discharge'!E$26:F$126,MATCH(F158,'Step 4 Stage Discharge'!E$26:E$126,1)+1,2)-INDEX('Step 4 Stage Discharge'!E$26:F$126,MATCH(F158,'Step 4 Stage Discharge'!E$26:E$126,1),2))*(F158-INDEX('Step 4 Stage Discharge'!E$26:F$126,MATCH(F158,'Step 4 Stage Discharge'!E$26:E$126,1),1))/(INDEX('Step 4 Stage Discharge'!E$26:F$126,MATCH(F158,'Step 4 Stage Discharge'!E$26:E$126,1)+1,1)-INDEX('Step 4 Stage Discharge'!E$26:F$126,MATCH(F158,'Step 4 Stage Discharge'!E$26:E$126,1),1))</f>
        <v>4.7391143402617754E-3</v>
      </c>
      <c r="H158" s="149"/>
      <c r="I158" s="149">
        <f>INDEX('Step 4 Stage Discharge'!E$26:M$126,MATCH(F158,'Step 4 Stage Discharge'!E$26:E$126,1),9)+(INDEX('Step 4 Stage Discharge'!E$26:M$126,MATCH('Step 5 Routing'!F158,'Step 4 Stage Discharge'!E$26:E$126,1)+1,9)-INDEX('Step 4 Stage Discharge'!E$26:M$126,MATCH('Step 5 Routing'!F158,'Step 4 Stage Discharge'!E$26:E$126,1),9))*('Step 5 Routing'!F158-INDEX('Step 4 Stage Discharge'!E$26:M$126,MATCH('Step 5 Routing'!F158,'Step 4 Stage Discharge'!E$26:E$126,1),1))/(INDEX('Step 4 Stage Discharge'!E$26:M$126,MATCH('Step 5 Routing'!F158,'Step 4 Stage Discharge'!E$26:E$126,1)+1,1)-INDEX('Step 4 Stage Discharge'!E$26:M$126,MATCH('Step 5 Routing'!F158,'Step 4 Stage Discharge'!E$26:E$126,1),1))</f>
        <v>5.0788788124411744E-3</v>
      </c>
      <c r="J158" s="149"/>
      <c r="K158" s="6">
        <f t="shared" si="11"/>
        <v>0.30473272874647045</v>
      </c>
      <c r="L158" s="6">
        <f t="shared" si="12"/>
        <v>1.5674070002305414</v>
      </c>
    </row>
    <row r="159" spans="1:12">
      <c r="A159">
        <f t="shared" si="13"/>
        <v>146</v>
      </c>
      <c r="B159" s="136">
        <f>IF(C$5=Data!D$3,'Step 2 Inflow Hydrograph'!H203,IF(C$5=Data!D$4,'Step 2 Inflow Hydrograph'!I203,IF(C$5=Data!D$5,'Step 2 Inflow Hydrograph'!J203,'Step 2 Inflow Hydrograph'!K203)))</f>
        <v>0</v>
      </c>
      <c r="C159" s="127"/>
      <c r="D159" s="6">
        <f t="shared" si="10"/>
        <v>0</v>
      </c>
      <c r="E159" s="6"/>
      <c r="F159" s="6">
        <f t="shared" si="14"/>
        <v>1.5674070002305414</v>
      </c>
      <c r="G159" s="149">
        <f>INDEX('Step 4 Stage Discharge'!E$26:F$126,MATCH(F159,'Step 4 Stage Discharge'!E$26:E$126,1),2)+(INDEX('Step 4 Stage Discharge'!E$26:F$126,MATCH(F159,'Step 4 Stage Discharge'!E$26:E$126,1)+1,2)-INDEX('Step 4 Stage Discharge'!E$26:F$126,MATCH(F159,'Step 4 Stage Discharge'!E$26:E$126,1),2))*(F159-INDEX('Step 4 Stage Discharge'!E$26:F$126,MATCH(F159,'Step 4 Stage Discharge'!E$26:E$126,1),1))/(INDEX('Step 4 Stage Discharge'!E$26:F$126,MATCH(F159,'Step 4 Stage Discharge'!E$26:E$126,1)+1,1)-INDEX('Step 4 Stage Discharge'!E$26:F$126,MATCH(F159,'Step 4 Stage Discharge'!E$26:E$126,1),1))</f>
        <v>3.9677171937792157E-3</v>
      </c>
      <c r="H159" s="149"/>
      <c r="I159" s="149">
        <f>INDEX('Step 4 Stage Discharge'!E$26:M$126,MATCH(F159,'Step 4 Stage Discharge'!E$26:E$126,1),9)+(INDEX('Step 4 Stage Discharge'!E$26:M$126,MATCH('Step 5 Routing'!F159,'Step 4 Stage Discharge'!E$26:E$126,1)+1,9)-INDEX('Step 4 Stage Discharge'!E$26:M$126,MATCH('Step 5 Routing'!F159,'Step 4 Stage Discharge'!E$26:E$126,1),9))*('Step 5 Routing'!F159-INDEX('Step 4 Stage Discharge'!E$26:M$126,MATCH('Step 5 Routing'!F159,'Step 4 Stage Discharge'!E$26:E$126,1),1))/(INDEX('Step 4 Stage Discharge'!E$26:M$126,MATCH('Step 5 Routing'!F159,'Step 4 Stage Discharge'!E$26:E$126,1)+1,1)-INDEX('Step 4 Stage Discharge'!E$26:M$126,MATCH('Step 5 Routing'!F159,'Step 4 Stage Discharge'!E$26:E$126,1),1))</f>
        <v>4.9625070024140183E-3</v>
      </c>
      <c r="J159" s="149"/>
      <c r="K159" s="6">
        <f t="shared" si="11"/>
        <v>0.2977504201448411</v>
      </c>
      <c r="L159" s="6">
        <f t="shared" si="12"/>
        <v>1.2696565800857003</v>
      </c>
    </row>
    <row r="160" spans="1:12">
      <c r="A160">
        <f t="shared" si="13"/>
        <v>147</v>
      </c>
      <c r="B160" s="136">
        <f>IF(C$5=Data!D$3,'Step 2 Inflow Hydrograph'!H204,IF(C$5=Data!D$4,'Step 2 Inflow Hydrograph'!I204,IF(C$5=Data!D$5,'Step 2 Inflow Hydrograph'!J204,'Step 2 Inflow Hydrograph'!K204)))</f>
        <v>0</v>
      </c>
      <c r="C160" s="127"/>
      <c r="D160" s="6">
        <f t="shared" si="10"/>
        <v>0</v>
      </c>
      <c r="E160" s="6"/>
      <c r="F160" s="6">
        <f t="shared" si="14"/>
        <v>1.2696565800857003</v>
      </c>
      <c r="G160" s="149">
        <f>INDEX('Step 4 Stage Discharge'!E$26:F$126,MATCH(F160,'Step 4 Stage Discharge'!E$26:E$126,1),2)+(INDEX('Step 4 Stage Discharge'!E$26:F$126,MATCH(F160,'Step 4 Stage Discharge'!E$26:E$126,1)+1,2)-INDEX('Step 4 Stage Discharge'!E$26:F$126,MATCH(F160,'Step 4 Stage Discharge'!E$26:E$126,1),2))*(F160-INDEX('Step 4 Stage Discharge'!E$26:F$126,MATCH(F160,'Step 4 Stage Discharge'!E$26:E$126,1),1))/(INDEX('Step 4 Stage Discharge'!E$26:F$126,MATCH(F160,'Step 4 Stage Discharge'!E$26:E$126,1)+1,1)-INDEX('Step 4 Stage Discharge'!E$26:F$126,MATCH(F160,'Step 4 Stage Discharge'!E$26:E$126,1),1))</f>
        <v>3.2139949880662724E-3</v>
      </c>
      <c r="H160" s="149"/>
      <c r="I160" s="149">
        <f>INDEX('Step 4 Stage Discharge'!E$26:M$126,MATCH(F160,'Step 4 Stage Discharge'!E$26:E$126,1),9)+(INDEX('Step 4 Stage Discharge'!E$26:M$126,MATCH('Step 5 Routing'!F160,'Step 4 Stage Discharge'!E$26:E$126,1)+1,9)-INDEX('Step 4 Stage Discharge'!E$26:M$126,MATCH('Step 5 Routing'!F160,'Step 4 Stage Discharge'!E$26:E$126,1),9))*('Step 5 Routing'!F160-INDEX('Step 4 Stage Discharge'!E$26:M$126,MATCH('Step 5 Routing'!F160,'Step 4 Stage Discharge'!E$26:E$126,1),1))/(INDEX('Step 4 Stage Discharge'!E$26:M$126,MATCH('Step 5 Routing'!F160,'Step 4 Stage Discharge'!E$26:E$126,1)+1,1)-INDEX('Step 4 Stage Discharge'!E$26:M$126,MATCH('Step 5 Routing'!F160,'Step 4 Stage Discharge'!E$26:E$126,1),1))</f>
        <v>4.8488016072924158E-3</v>
      </c>
      <c r="J160" s="149"/>
      <c r="K160" s="6">
        <f t="shared" si="11"/>
        <v>0.29092809643754497</v>
      </c>
      <c r="L160" s="6">
        <f t="shared" si="12"/>
        <v>0.97872848364815535</v>
      </c>
    </row>
    <row r="161" spans="1:12">
      <c r="A161">
        <f t="shared" si="13"/>
        <v>148</v>
      </c>
      <c r="B161" s="136">
        <f>IF(C$5=Data!D$3,'Step 2 Inflow Hydrograph'!H205,IF(C$5=Data!D$4,'Step 2 Inflow Hydrograph'!I205,IF(C$5=Data!D$5,'Step 2 Inflow Hydrograph'!J205,'Step 2 Inflow Hydrograph'!K205)))</f>
        <v>0</v>
      </c>
      <c r="C161" s="127"/>
      <c r="D161" s="6">
        <f t="shared" si="10"/>
        <v>0</v>
      </c>
      <c r="E161" s="6"/>
      <c r="F161" s="6">
        <f t="shared" si="14"/>
        <v>0.97872848364815535</v>
      </c>
      <c r="G161" s="149">
        <f>INDEX('Step 4 Stage Discharge'!E$26:F$126,MATCH(F161,'Step 4 Stage Discharge'!E$26:E$126,1),2)+(INDEX('Step 4 Stage Discharge'!E$26:F$126,MATCH(F161,'Step 4 Stage Discharge'!E$26:E$126,1)+1,2)-INDEX('Step 4 Stage Discharge'!E$26:F$126,MATCH(F161,'Step 4 Stage Discharge'!E$26:E$126,1),2))*(F161-INDEX('Step 4 Stage Discharge'!E$26:F$126,MATCH(F161,'Step 4 Stage Discharge'!E$26:E$126,1),1))/(INDEX('Step 4 Stage Discharge'!E$26:F$126,MATCH(F161,'Step 4 Stage Discharge'!E$26:E$126,1)+1,1)-INDEX('Step 4 Stage Discharge'!E$26:F$126,MATCH(F161,'Step 4 Stage Discharge'!E$26:E$126,1),1))</f>
        <v>2.4775427390850428E-3</v>
      </c>
      <c r="H161" s="149"/>
      <c r="I161" s="149">
        <f>INDEX('Step 4 Stage Discharge'!E$26:M$126,MATCH(F161,'Step 4 Stage Discharge'!E$26:E$126,1),9)+(INDEX('Step 4 Stage Discharge'!E$26:M$126,MATCH('Step 5 Routing'!F161,'Step 4 Stage Discharge'!E$26:E$126,1)+1,9)-INDEX('Step 4 Stage Discharge'!E$26:M$126,MATCH('Step 5 Routing'!F161,'Step 4 Stage Discharge'!E$26:E$126,1),9))*('Step 5 Routing'!F161-INDEX('Step 4 Stage Discharge'!E$26:M$126,MATCH('Step 5 Routing'!F161,'Step 4 Stage Discharge'!E$26:E$126,1),1))/(INDEX('Step 4 Stage Discharge'!E$26:M$126,MATCH('Step 5 Routing'!F161,'Step 4 Stage Discharge'!E$26:E$126,1)+1,1)-INDEX('Step 4 Stage Discharge'!E$26:M$126,MATCH('Step 5 Routing'!F161,'Step 4 Stage Discharge'!E$26:E$126,1),1))</f>
        <v>4.7377015317952428E-3</v>
      </c>
      <c r="J161" s="149"/>
      <c r="K161" s="6">
        <f t="shared" si="11"/>
        <v>0.28426209190771456</v>
      </c>
      <c r="L161" s="6">
        <f t="shared" si="12"/>
        <v>0.69446639174044078</v>
      </c>
    </row>
    <row r="162" spans="1:12">
      <c r="A162">
        <f t="shared" si="13"/>
        <v>149</v>
      </c>
      <c r="B162" s="136">
        <f>IF(C$5=Data!D$3,'Step 2 Inflow Hydrograph'!H206,IF(C$5=Data!D$4,'Step 2 Inflow Hydrograph'!I206,IF(C$5=Data!D$5,'Step 2 Inflow Hydrograph'!J206,'Step 2 Inflow Hydrograph'!K206)))</f>
        <v>0</v>
      </c>
      <c r="C162" s="127"/>
      <c r="D162" s="6">
        <f t="shared" si="10"/>
        <v>0</v>
      </c>
      <c r="E162" s="6"/>
      <c r="F162" s="6">
        <f t="shared" si="14"/>
        <v>0.69446639174044078</v>
      </c>
      <c r="G162" s="149">
        <f>INDEX('Step 4 Stage Discharge'!E$26:F$126,MATCH(F162,'Step 4 Stage Discharge'!E$26:E$126,1),2)+(INDEX('Step 4 Stage Discharge'!E$26:F$126,MATCH(F162,'Step 4 Stage Discharge'!E$26:E$126,1)+1,2)-INDEX('Step 4 Stage Discharge'!E$26:F$126,MATCH(F162,'Step 4 Stage Discharge'!E$26:E$126,1),2))*(F162-INDEX('Step 4 Stage Discharge'!E$26:F$126,MATCH(F162,'Step 4 Stage Discharge'!E$26:E$126,1),1))/(INDEX('Step 4 Stage Discharge'!E$26:F$126,MATCH(F162,'Step 4 Stage Discharge'!E$26:E$126,1)+1,1)-INDEX('Step 4 Stage Discharge'!E$26:F$126,MATCH(F162,'Step 4 Stage Discharge'!E$26:E$126,1),1))</f>
        <v>1.757964742153809E-3</v>
      </c>
      <c r="H162" s="149"/>
      <c r="I162" s="149">
        <f>INDEX('Step 4 Stage Discharge'!E$26:M$126,MATCH(F162,'Step 4 Stage Discharge'!E$26:E$126,1),9)+(INDEX('Step 4 Stage Discharge'!E$26:M$126,MATCH('Step 5 Routing'!F162,'Step 4 Stage Discharge'!E$26:E$126,1)+1,9)-INDEX('Step 4 Stage Discharge'!E$26:M$126,MATCH('Step 5 Routing'!F162,'Step 4 Stage Discharge'!E$26:E$126,1),9))*('Step 5 Routing'!F162-INDEX('Step 4 Stage Discharge'!E$26:M$126,MATCH('Step 5 Routing'!F162,'Step 4 Stage Discharge'!E$26:E$126,1),1))/(INDEX('Step 4 Stage Discharge'!E$26:M$126,MATCH('Step 5 Routing'!F162,'Step 4 Stage Discharge'!E$26:E$126,1)+1,1)-INDEX('Step 4 Stage Discharge'!E$26:M$126,MATCH('Step 5 Routing'!F162,'Step 4 Stage Discharge'!E$26:E$126,1),1))</f>
        <v>4.6291470805110537E-3</v>
      </c>
      <c r="J162" s="149"/>
      <c r="K162" s="6">
        <f t="shared" si="11"/>
        <v>0.27774882483066321</v>
      </c>
      <c r="L162" s="6">
        <f t="shared" si="12"/>
        <v>0.41671756690977757</v>
      </c>
    </row>
    <row r="163" spans="1:12">
      <c r="A163">
        <f t="shared" si="13"/>
        <v>150</v>
      </c>
      <c r="B163" s="136">
        <f>IF(C$5=Data!D$3,'Step 2 Inflow Hydrograph'!H207,IF(C$5=Data!D$4,'Step 2 Inflow Hydrograph'!I207,IF(C$5=Data!D$5,'Step 2 Inflow Hydrograph'!J207,'Step 2 Inflow Hydrograph'!K207)))</f>
        <v>0</v>
      </c>
      <c r="C163" s="127"/>
      <c r="D163" s="6">
        <f t="shared" si="10"/>
        <v>0</v>
      </c>
      <c r="E163" s="6"/>
      <c r="F163" s="6">
        <f t="shared" si="14"/>
        <v>0.41671756690977757</v>
      </c>
      <c r="G163" s="149">
        <f>INDEX('Step 4 Stage Discharge'!E$26:F$126,MATCH(F163,'Step 4 Stage Discharge'!E$26:E$126,1),2)+(INDEX('Step 4 Stage Discharge'!E$26:F$126,MATCH(F163,'Step 4 Stage Discharge'!E$26:E$126,1)+1,2)-INDEX('Step 4 Stage Discharge'!E$26:F$126,MATCH(F163,'Step 4 Stage Discharge'!E$26:E$126,1),2))*(F163-INDEX('Step 4 Stage Discharge'!E$26:F$126,MATCH(F163,'Step 4 Stage Discharge'!E$26:E$126,1),1))/(INDEX('Step 4 Stage Discharge'!E$26:F$126,MATCH(F163,'Step 4 Stage Discharge'!E$26:E$126,1)+1,1)-INDEX('Step 4 Stage Discharge'!E$26:F$126,MATCH(F163,'Step 4 Stage Discharge'!E$26:E$126,1),1))</f>
        <v>1.0548743593301376E-3</v>
      </c>
      <c r="H163" s="149"/>
      <c r="I163" s="149">
        <f>INDEX('Step 4 Stage Discharge'!E$26:M$126,MATCH(F163,'Step 4 Stage Discharge'!E$26:E$126,1),9)+(INDEX('Step 4 Stage Discharge'!E$26:M$126,MATCH('Step 5 Routing'!F163,'Step 4 Stage Discharge'!E$26:E$126,1)+1,9)-INDEX('Step 4 Stage Discharge'!E$26:M$126,MATCH('Step 5 Routing'!F163,'Step 4 Stage Discharge'!E$26:E$126,1),9))*('Step 5 Routing'!F163-INDEX('Step 4 Stage Discharge'!E$26:M$126,MATCH('Step 5 Routing'!F163,'Step 4 Stage Discharge'!E$26:E$126,1),1))/(INDEX('Step 4 Stage Discharge'!E$26:M$126,MATCH('Step 5 Routing'!F163,'Step 4 Stage Discharge'!E$26:E$126,1)+1,1)-INDEX('Step 4 Stage Discharge'!E$26:M$126,MATCH('Step 5 Routing'!F163,'Step 4 Stage Discharge'!E$26:E$126,1),1))</f>
        <v>4.5230799258230148E-3</v>
      </c>
      <c r="J163" s="149"/>
      <c r="K163" s="6">
        <f t="shared" si="11"/>
        <v>0.27138479554938089</v>
      </c>
      <c r="L163" s="6">
        <f t="shared" si="12"/>
        <v>0.14533277136039668</v>
      </c>
    </row>
    <row r="164" spans="1:12">
      <c r="A164">
        <f t="shared" si="13"/>
        <v>151</v>
      </c>
      <c r="B164" s="136">
        <f>IF(C$5=Data!D$3,'Step 2 Inflow Hydrograph'!H208,IF(C$5=Data!D$4,'Step 2 Inflow Hydrograph'!I208,IF(C$5=Data!D$5,'Step 2 Inflow Hydrograph'!J208,'Step 2 Inflow Hydrograph'!K208)))</f>
        <v>0</v>
      </c>
      <c r="C164" s="127"/>
      <c r="D164" s="6">
        <f t="shared" si="10"/>
        <v>0</v>
      </c>
      <c r="E164" s="6"/>
      <c r="F164" s="6">
        <f t="shared" si="14"/>
        <v>0.14533277136039668</v>
      </c>
      <c r="G164" s="149">
        <f>INDEX('Step 4 Stage Discharge'!E$26:F$126,MATCH(F164,'Step 4 Stage Discharge'!E$26:E$126,1),2)+(INDEX('Step 4 Stage Discharge'!E$26:F$126,MATCH(F164,'Step 4 Stage Discharge'!E$26:E$126,1)+1,2)-INDEX('Step 4 Stage Discharge'!E$26:F$126,MATCH(F164,'Step 4 Stage Discharge'!E$26:E$126,1),2))*(F164-INDEX('Step 4 Stage Discharge'!E$26:F$126,MATCH(F164,'Step 4 Stage Discharge'!E$26:E$126,1),1))/(INDEX('Step 4 Stage Discharge'!E$26:F$126,MATCH(F164,'Step 4 Stage Discharge'!E$26:E$126,1)+1,1)-INDEX('Step 4 Stage Discharge'!E$26:F$126,MATCH(F164,'Step 4 Stage Discharge'!E$26:E$126,1),1))</f>
        <v>3.6789381166564572E-4</v>
      </c>
      <c r="H164" s="149"/>
      <c r="I164" s="149">
        <f>INDEX('Step 4 Stage Discharge'!E$26:M$126,MATCH(F164,'Step 4 Stage Discharge'!E$26:E$126,1),9)+(INDEX('Step 4 Stage Discharge'!E$26:M$126,MATCH('Step 5 Routing'!F164,'Step 4 Stage Discharge'!E$26:E$126,1)+1,9)-INDEX('Step 4 Stage Discharge'!E$26:M$126,MATCH('Step 5 Routing'!F164,'Step 4 Stage Discharge'!E$26:E$126,1),9))*('Step 5 Routing'!F164-INDEX('Step 4 Stage Discharge'!E$26:M$126,MATCH('Step 5 Routing'!F164,'Step 4 Stage Discharge'!E$26:E$126,1),1))/(INDEX('Step 4 Stage Discharge'!E$26:M$126,MATCH('Step 5 Routing'!F164,'Step 4 Stage Discharge'!E$26:E$126,1)+1,1)-INDEX('Step 4 Stage Discharge'!E$26:M$126,MATCH('Step 5 Routing'!F164,'Step 4 Stage Discharge'!E$26:E$126,1),1))</f>
        <v>4.4194430765687742E-3</v>
      </c>
      <c r="J164" s="149"/>
      <c r="K164" s="6">
        <f t="shared" si="11"/>
        <v>0.14533277136039668</v>
      </c>
      <c r="L164" s="6">
        <f t="shared" si="12"/>
        <v>0</v>
      </c>
    </row>
    <row r="165" spans="1:12">
      <c r="A165">
        <f t="shared" si="13"/>
        <v>152</v>
      </c>
      <c r="B165" s="136">
        <f>IF(C$5=Data!D$3,'Step 2 Inflow Hydrograph'!H209,IF(C$5=Data!D$4,'Step 2 Inflow Hydrograph'!I209,IF(C$5=Data!D$5,'Step 2 Inflow Hydrograph'!J209,'Step 2 Inflow Hydrograph'!K209)))</f>
        <v>0</v>
      </c>
      <c r="C165" s="127"/>
      <c r="D165" s="6">
        <f t="shared" si="10"/>
        <v>0</v>
      </c>
      <c r="E165" s="6"/>
      <c r="F165" s="6">
        <f t="shared" si="14"/>
        <v>0</v>
      </c>
      <c r="G165" s="149">
        <f>INDEX('Step 4 Stage Discharge'!E$26:F$126,MATCH(F165,'Step 4 Stage Discharge'!E$26:E$126,1),2)+(INDEX('Step 4 Stage Discharge'!E$26:F$126,MATCH(F165,'Step 4 Stage Discharge'!E$26:E$126,1)+1,2)-INDEX('Step 4 Stage Discharge'!E$26:F$126,MATCH(F165,'Step 4 Stage Discharge'!E$26:E$126,1),2))*(F165-INDEX('Step 4 Stage Discharge'!E$26:F$126,MATCH(F165,'Step 4 Stage Discharge'!E$26:E$126,1),1))/(INDEX('Step 4 Stage Discharge'!E$26:F$126,MATCH(F165,'Step 4 Stage Discharge'!E$26:E$126,1)+1,1)-INDEX('Step 4 Stage Discharge'!E$26:F$126,MATCH(F165,'Step 4 Stage Discharge'!E$26:E$126,1),1))</f>
        <v>0</v>
      </c>
      <c r="H165" s="149"/>
      <c r="I165" s="149">
        <f>INDEX('Step 4 Stage Discharge'!E$26:M$126,MATCH(F165,'Step 4 Stage Discharge'!E$26:E$126,1),9)+(INDEX('Step 4 Stage Discharge'!E$26:M$126,MATCH('Step 5 Routing'!F165,'Step 4 Stage Discharge'!E$26:E$126,1)+1,9)-INDEX('Step 4 Stage Discharge'!E$26:M$126,MATCH('Step 5 Routing'!F165,'Step 4 Stage Discharge'!E$26:E$126,1),9))*('Step 5 Routing'!F165-INDEX('Step 4 Stage Discharge'!E$26:M$126,MATCH('Step 5 Routing'!F165,'Step 4 Stage Discharge'!E$26:E$126,1),1))/(INDEX('Step 4 Stage Discharge'!E$26:M$126,MATCH('Step 5 Routing'!F165,'Step 4 Stage Discharge'!E$26:E$126,1)+1,1)-INDEX('Step 4 Stage Discharge'!E$26:M$126,MATCH('Step 5 Routing'!F165,'Step 4 Stage Discharge'!E$26:E$126,1),1))</f>
        <v>4.3639431710317386E-3</v>
      </c>
      <c r="J165" s="149"/>
      <c r="K165" s="6">
        <f t="shared" si="11"/>
        <v>0</v>
      </c>
      <c r="L165" s="6">
        <f t="shared" si="12"/>
        <v>0</v>
      </c>
    </row>
    <row r="166" spans="1:12">
      <c r="A166">
        <f t="shared" si="13"/>
        <v>153</v>
      </c>
      <c r="B166" s="136">
        <f>IF(C$5=Data!D$3,'Step 2 Inflow Hydrograph'!H210,IF(C$5=Data!D$4,'Step 2 Inflow Hydrograph'!I210,IF(C$5=Data!D$5,'Step 2 Inflow Hydrograph'!J210,'Step 2 Inflow Hydrograph'!K210)))</f>
        <v>0</v>
      </c>
      <c r="C166" s="127"/>
      <c r="D166" s="6">
        <f t="shared" si="10"/>
        <v>0</v>
      </c>
      <c r="E166" s="6"/>
      <c r="F166" s="6">
        <f t="shared" si="14"/>
        <v>0</v>
      </c>
      <c r="G166" s="149">
        <f>INDEX('Step 4 Stage Discharge'!E$26:F$126,MATCH(F166,'Step 4 Stage Discharge'!E$26:E$126,1),2)+(INDEX('Step 4 Stage Discharge'!E$26:F$126,MATCH(F166,'Step 4 Stage Discharge'!E$26:E$126,1)+1,2)-INDEX('Step 4 Stage Discharge'!E$26:F$126,MATCH(F166,'Step 4 Stage Discharge'!E$26:E$126,1),2))*(F166-INDEX('Step 4 Stage Discharge'!E$26:F$126,MATCH(F166,'Step 4 Stage Discharge'!E$26:E$126,1),1))/(INDEX('Step 4 Stage Discharge'!E$26:F$126,MATCH(F166,'Step 4 Stage Discharge'!E$26:E$126,1)+1,1)-INDEX('Step 4 Stage Discharge'!E$26:F$126,MATCH(F166,'Step 4 Stage Discharge'!E$26:E$126,1),1))</f>
        <v>0</v>
      </c>
      <c r="H166" s="149"/>
      <c r="I166" s="149">
        <f>INDEX('Step 4 Stage Discharge'!E$26:M$126,MATCH(F166,'Step 4 Stage Discharge'!E$26:E$126,1),9)+(INDEX('Step 4 Stage Discharge'!E$26:M$126,MATCH('Step 5 Routing'!F166,'Step 4 Stage Discharge'!E$26:E$126,1)+1,9)-INDEX('Step 4 Stage Discharge'!E$26:M$126,MATCH('Step 5 Routing'!F166,'Step 4 Stage Discharge'!E$26:E$126,1),9))*('Step 5 Routing'!F166-INDEX('Step 4 Stage Discharge'!E$26:M$126,MATCH('Step 5 Routing'!F166,'Step 4 Stage Discharge'!E$26:E$126,1),1))/(INDEX('Step 4 Stage Discharge'!E$26:M$126,MATCH('Step 5 Routing'!F166,'Step 4 Stage Discharge'!E$26:E$126,1)+1,1)-INDEX('Step 4 Stage Discharge'!E$26:M$126,MATCH('Step 5 Routing'!F166,'Step 4 Stage Discharge'!E$26:E$126,1),1))</f>
        <v>4.3639431710317386E-3</v>
      </c>
      <c r="J166" s="149"/>
      <c r="K166" s="6">
        <f t="shared" si="11"/>
        <v>0</v>
      </c>
      <c r="L166" s="6">
        <f t="shared" si="12"/>
        <v>0</v>
      </c>
    </row>
    <row r="167" spans="1:12">
      <c r="A167">
        <f t="shared" si="13"/>
        <v>154</v>
      </c>
      <c r="B167" s="136">
        <f>IF(C$5=Data!D$3,'Step 2 Inflow Hydrograph'!H211,IF(C$5=Data!D$4,'Step 2 Inflow Hydrograph'!I211,IF(C$5=Data!D$5,'Step 2 Inflow Hydrograph'!J211,'Step 2 Inflow Hydrograph'!K211)))</f>
        <v>0</v>
      </c>
      <c r="C167" s="127"/>
      <c r="D167" s="6">
        <f t="shared" si="10"/>
        <v>0</v>
      </c>
      <c r="E167" s="6"/>
      <c r="F167" s="6">
        <f t="shared" si="14"/>
        <v>0</v>
      </c>
      <c r="G167" s="149">
        <f>INDEX('Step 4 Stage Discharge'!E$26:F$126,MATCH(F167,'Step 4 Stage Discharge'!E$26:E$126,1),2)+(INDEX('Step 4 Stage Discharge'!E$26:F$126,MATCH(F167,'Step 4 Stage Discharge'!E$26:E$126,1)+1,2)-INDEX('Step 4 Stage Discharge'!E$26:F$126,MATCH(F167,'Step 4 Stage Discharge'!E$26:E$126,1),2))*(F167-INDEX('Step 4 Stage Discharge'!E$26:F$126,MATCH(F167,'Step 4 Stage Discharge'!E$26:E$126,1),1))/(INDEX('Step 4 Stage Discharge'!E$26:F$126,MATCH(F167,'Step 4 Stage Discharge'!E$26:E$126,1)+1,1)-INDEX('Step 4 Stage Discharge'!E$26:F$126,MATCH(F167,'Step 4 Stage Discharge'!E$26:E$126,1),1))</f>
        <v>0</v>
      </c>
      <c r="H167" s="149"/>
      <c r="I167" s="149">
        <f>INDEX('Step 4 Stage Discharge'!E$26:M$126,MATCH(F167,'Step 4 Stage Discharge'!E$26:E$126,1),9)+(INDEX('Step 4 Stage Discharge'!E$26:M$126,MATCH('Step 5 Routing'!F167,'Step 4 Stage Discharge'!E$26:E$126,1)+1,9)-INDEX('Step 4 Stage Discharge'!E$26:M$126,MATCH('Step 5 Routing'!F167,'Step 4 Stage Discharge'!E$26:E$126,1),9))*('Step 5 Routing'!F167-INDEX('Step 4 Stage Discharge'!E$26:M$126,MATCH('Step 5 Routing'!F167,'Step 4 Stage Discharge'!E$26:E$126,1),1))/(INDEX('Step 4 Stage Discharge'!E$26:M$126,MATCH('Step 5 Routing'!F167,'Step 4 Stage Discharge'!E$26:E$126,1)+1,1)-INDEX('Step 4 Stage Discharge'!E$26:M$126,MATCH('Step 5 Routing'!F167,'Step 4 Stage Discharge'!E$26:E$126,1),1))</f>
        <v>4.3639431710317386E-3</v>
      </c>
      <c r="J167" s="149"/>
      <c r="K167" s="6">
        <f t="shared" si="11"/>
        <v>0</v>
      </c>
      <c r="L167" s="6">
        <f t="shared" si="12"/>
        <v>0</v>
      </c>
    </row>
    <row r="168" spans="1:12">
      <c r="A168">
        <f t="shared" si="13"/>
        <v>155</v>
      </c>
      <c r="B168" s="136">
        <f>IF(C$5=Data!D$3,'Step 2 Inflow Hydrograph'!H212,IF(C$5=Data!D$4,'Step 2 Inflow Hydrograph'!I212,IF(C$5=Data!D$5,'Step 2 Inflow Hydrograph'!J212,'Step 2 Inflow Hydrograph'!K212)))</f>
        <v>0</v>
      </c>
      <c r="C168" s="127"/>
      <c r="D168" s="6">
        <f t="shared" si="10"/>
        <v>0</v>
      </c>
      <c r="E168" s="6"/>
      <c r="F168" s="6">
        <f t="shared" si="14"/>
        <v>0</v>
      </c>
      <c r="G168" s="149">
        <f>INDEX('Step 4 Stage Discharge'!E$26:F$126,MATCH(F168,'Step 4 Stage Discharge'!E$26:E$126,1),2)+(INDEX('Step 4 Stage Discharge'!E$26:F$126,MATCH(F168,'Step 4 Stage Discharge'!E$26:E$126,1)+1,2)-INDEX('Step 4 Stage Discharge'!E$26:F$126,MATCH(F168,'Step 4 Stage Discharge'!E$26:E$126,1),2))*(F168-INDEX('Step 4 Stage Discharge'!E$26:F$126,MATCH(F168,'Step 4 Stage Discharge'!E$26:E$126,1),1))/(INDEX('Step 4 Stage Discharge'!E$26:F$126,MATCH(F168,'Step 4 Stage Discharge'!E$26:E$126,1)+1,1)-INDEX('Step 4 Stage Discharge'!E$26:F$126,MATCH(F168,'Step 4 Stage Discharge'!E$26:E$126,1),1))</f>
        <v>0</v>
      </c>
      <c r="H168" s="149"/>
      <c r="I168" s="149">
        <f>INDEX('Step 4 Stage Discharge'!E$26:M$126,MATCH(F168,'Step 4 Stage Discharge'!E$26:E$126,1),9)+(INDEX('Step 4 Stage Discharge'!E$26:M$126,MATCH('Step 5 Routing'!F168,'Step 4 Stage Discharge'!E$26:E$126,1)+1,9)-INDEX('Step 4 Stage Discharge'!E$26:M$126,MATCH('Step 5 Routing'!F168,'Step 4 Stage Discharge'!E$26:E$126,1),9))*('Step 5 Routing'!F168-INDEX('Step 4 Stage Discharge'!E$26:M$126,MATCH('Step 5 Routing'!F168,'Step 4 Stage Discharge'!E$26:E$126,1),1))/(INDEX('Step 4 Stage Discharge'!E$26:M$126,MATCH('Step 5 Routing'!F168,'Step 4 Stage Discharge'!E$26:E$126,1)+1,1)-INDEX('Step 4 Stage Discharge'!E$26:M$126,MATCH('Step 5 Routing'!F168,'Step 4 Stage Discharge'!E$26:E$126,1),1))</f>
        <v>4.3639431710317386E-3</v>
      </c>
      <c r="J168" s="149"/>
      <c r="K168" s="6">
        <f t="shared" si="11"/>
        <v>0</v>
      </c>
      <c r="L168" s="6">
        <f t="shared" si="12"/>
        <v>0</v>
      </c>
    </row>
    <row r="169" spans="1:12">
      <c r="A169">
        <f t="shared" si="13"/>
        <v>156</v>
      </c>
      <c r="B169" s="136">
        <f>IF(C$5=Data!D$3,'Step 2 Inflow Hydrograph'!H213,IF(C$5=Data!D$4,'Step 2 Inflow Hydrograph'!I213,IF(C$5=Data!D$5,'Step 2 Inflow Hydrograph'!J213,'Step 2 Inflow Hydrograph'!K213)))</f>
        <v>0</v>
      </c>
      <c r="C169" s="127"/>
      <c r="D169" s="6">
        <f t="shared" si="10"/>
        <v>0</v>
      </c>
      <c r="E169" s="6"/>
      <c r="F169" s="6">
        <f t="shared" si="14"/>
        <v>0</v>
      </c>
      <c r="G169" s="149">
        <f>INDEX('Step 4 Stage Discharge'!E$26:F$126,MATCH(F169,'Step 4 Stage Discharge'!E$26:E$126,1),2)+(INDEX('Step 4 Stage Discharge'!E$26:F$126,MATCH(F169,'Step 4 Stage Discharge'!E$26:E$126,1)+1,2)-INDEX('Step 4 Stage Discharge'!E$26:F$126,MATCH(F169,'Step 4 Stage Discharge'!E$26:E$126,1),2))*(F169-INDEX('Step 4 Stage Discharge'!E$26:F$126,MATCH(F169,'Step 4 Stage Discharge'!E$26:E$126,1),1))/(INDEX('Step 4 Stage Discharge'!E$26:F$126,MATCH(F169,'Step 4 Stage Discharge'!E$26:E$126,1)+1,1)-INDEX('Step 4 Stage Discharge'!E$26:F$126,MATCH(F169,'Step 4 Stage Discharge'!E$26:E$126,1),1))</f>
        <v>0</v>
      </c>
      <c r="H169" s="149"/>
      <c r="I169" s="149">
        <f>INDEX('Step 4 Stage Discharge'!E$26:M$126,MATCH(F169,'Step 4 Stage Discharge'!E$26:E$126,1),9)+(INDEX('Step 4 Stage Discharge'!E$26:M$126,MATCH('Step 5 Routing'!F169,'Step 4 Stage Discharge'!E$26:E$126,1)+1,9)-INDEX('Step 4 Stage Discharge'!E$26:M$126,MATCH('Step 5 Routing'!F169,'Step 4 Stage Discharge'!E$26:E$126,1),9))*('Step 5 Routing'!F169-INDEX('Step 4 Stage Discharge'!E$26:M$126,MATCH('Step 5 Routing'!F169,'Step 4 Stage Discharge'!E$26:E$126,1),1))/(INDEX('Step 4 Stage Discharge'!E$26:M$126,MATCH('Step 5 Routing'!F169,'Step 4 Stage Discharge'!E$26:E$126,1)+1,1)-INDEX('Step 4 Stage Discharge'!E$26:M$126,MATCH('Step 5 Routing'!F169,'Step 4 Stage Discharge'!E$26:E$126,1),1))</f>
        <v>4.3639431710317386E-3</v>
      </c>
      <c r="J169" s="149"/>
      <c r="K169" s="6">
        <f t="shared" si="11"/>
        <v>0</v>
      </c>
      <c r="L169" s="6">
        <f t="shared" si="12"/>
        <v>0</v>
      </c>
    </row>
    <row r="170" spans="1:12">
      <c r="A170">
        <f t="shared" si="13"/>
        <v>157</v>
      </c>
      <c r="B170" s="136">
        <f>IF(C$5=Data!D$3,'Step 2 Inflow Hydrograph'!H214,IF(C$5=Data!D$4,'Step 2 Inflow Hydrograph'!I214,IF(C$5=Data!D$5,'Step 2 Inflow Hydrograph'!J214,'Step 2 Inflow Hydrograph'!K214)))</f>
        <v>0</v>
      </c>
      <c r="C170" s="127"/>
      <c r="D170" s="6">
        <f t="shared" si="10"/>
        <v>0</v>
      </c>
      <c r="E170" s="6"/>
      <c r="F170" s="6">
        <f t="shared" si="14"/>
        <v>0</v>
      </c>
      <c r="G170" s="149">
        <f>INDEX('Step 4 Stage Discharge'!E$26:F$126,MATCH(F170,'Step 4 Stage Discharge'!E$26:E$126,1),2)+(INDEX('Step 4 Stage Discharge'!E$26:F$126,MATCH(F170,'Step 4 Stage Discharge'!E$26:E$126,1)+1,2)-INDEX('Step 4 Stage Discharge'!E$26:F$126,MATCH(F170,'Step 4 Stage Discharge'!E$26:E$126,1),2))*(F170-INDEX('Step 4 Stage Discharge'!E$26:F$126,MATCH(F170,'Step 4 Stage Discharge'!E$26:E$126,1),1))/(INDEX('Step 4 Stage Discharge'!E$26:F$126,MATCH(F170,'Step 4 Stage Discharge'!E$26:E$126,1)+1,1)-INDEX('Step 4 Stage Discharge'!E$26:F$126,MATCH(F170,'Step 4 Stage Discharge'!E$26:E$126,1),1))</f>
        <v>0</v>
      </c>
      <c r="H170" s="149"/>
      <c r="I170" s="149">
        <f>INDEX('Step 4 Stage Discharge'!E$26:M$126,MATCH(F170,'Step 4 Stage Discharge'!E$26:E$126,1),9)+(INDEX('Step 4 Stage Discharge'!E$26:M$126,MATCH('Step 5 Routing'!F170,'Step 4 Stage Discharge'!E$26:E$126,1)+1,9)-INDEX('Step 4 Stage Discharge'!E$26:M$126,MATCH('Step 5 Routing'!F170,'Step 4 Stage Discharge'!E$26:E$126,1),9))*('Step 5 Routing'!F170-INDEX('Step 4 Stage Discharge'!E$26:M$126,MATCH('Step 5 Routing'!F170,'Step 4 Stage Discharge'!E$26:E$126,1),1))/(INDEX('Step 4 Stage Discharge'!E$26:M$126,MATCH('Step 5 Routing'!F170,'Step 4 Stage Discharge'!E$26:E$126,1)+1,1)-INDEX('Step 4 Stage Discharge'!E$26:M$126,MATCH('Step 5 Routing'!F170,'Step 4 Stage Discharge'!E$26:E$126,1),1))</f>
        <v>4.3639431710317386E-3</v>
      </c>
      <c r="J170" s="149"/>
      <c r="K170" s="6">
        <f t="shared" si="11"/>
        <v>0</v>
      </c>
      <c r="L170" s="6">
        <f t="shared" si="12"/>
        <v>0</v>
      </c>
    </row>
    <row r="171" spans="1:12">
      <c r="A171">
        <f t="shared" si="13"/>
        <v>158</v>
      </c>
      <c r="B171" s="136">
        <f>IF(C$5=Data!D$3,'Step 2 Inflow Hydrograph'!H215,IF(C$5=Data!D$4,'Step 2 Inflow Hydrograph'!I215,IF(C$5=Data!D$5,'Step 2 Inflow Hydrograph'!J215,'Step 2 Inflow Hydrograph'!K215)))</f>
        <v>0</v>
      </c>
      <c r="C171" s="127"/>
      <c r="D171" s="6">
        <f t="shared" si="10"/>
        <v>0</v>
      </c>
      <c r="E171" s="6"/>
      <c r="F171" s="6">
        <f t="shared" si="14"/>
        <v>0</v>
      </c>
      <c r="G171" s="149">
        <f>INDEX('Step 4 Stage Discharge'!E$26:F$126,MATCH(F171,'Step 4 Stage Discharge'!E$26:E$126,1),2)+(INDEX('Step 4 Stage Discharge'!E$26:F$126,MATCH(F171,'Step 4 Stage Discharge'!E$26:E$126,1)+1,2)-INDEX('Step 4 Stage Discharge'!E$26:F$126,MATCH(F171,'Step 4 Stage Discharge'!E$26:E$126,1),2))*(F171-INDEX('Step 4 Stage Discharge'!E$26:F$126,MATCH(F171,'Step 4 Stage Discharge'!E$26:E$126,1),1))/(INDEX('Step 4 Stage Discharge'!E$26:F$126,MATCH(F171,'Step 4 Stage Discharge'!E$26:E$126,1)+1,1)-INDEX('Step 4 Stage Discharge'!E$26:F$126,MATCH(F171,'Step 4 Stage Discharge'!E$26:E$126,1),1))</f>
        <v>0</v>
      </c>
      <c r="H171" s="149"/>
      <c r="I171" s="149">
        <f>INDEX('Step 4 Stage Discharge'!E$26:M$126,MATCH(F171,'Step 4 Stage Discharge'!E$26:E$126,1),9)+(INDEX('Step 4 Stage Discharge'!E$26:M$126,MATCH('Step 5 Routing'!F171,'Step 4 Stage Discharge'!E$26:E$126,1)+1,9)-INDEX('Step 4 Stage Discharge'!E$26:M$126,MATCH('Step 5 Routing'!F171,'Step 4 Stage Discharge'!E$26:E$126,1),9))*('Step 5 Routing'!F171-INDEX('Step 4 Stage Discharge'!E$26:M$126,MATCH('Step 5 Routing'!F171,'Step 4 Stage Discharge'!E$26:E$126,1),1))/(INDEX('Step 4 Stage Discharge'!E$26:M$126,MATCH('Step 5 Routing'!F171,'Step 4 Stage Discharge'!E$26:E$126,1)+1,1)-INDEX('Step 4 Stage Discharge'!E$26:M$126,MATCH('Step 5 Routing'!F171,'Step 4 Stage Discharge'!E$26:E$126,1),1))</f>
        <v>4.3639431710317386E-3</v>
      </c>
      <c r="J171" s="149"/>
      <c r="K171" s="6">
        <f t="shared" si="11"/>
        <v>0</v>
      </c>
      <c r="L171" s="6">
        <f t="shared" si="12"/>
        <v>0</v>
      </c>
    </row>
    <row r="172" spans="1:12">
      <c r="A172">
        <f t="shared" si="13"/>
        <v>159</v>
      </c>
      <c r="B172" s="136">
        <f>IF(C$5=Data!D$3,'Step 2 Inflow Hydrograph'!H216,IF(C$5=Data!D$4,'Step 2 Inflow Hydrograph'!I216,IF(C$5=Data!D$5,'Step 2 Inflow Hydrograph'!J216,'Step 2 Inflow Hydrograph'!K216)))</f>
        <v>0</v>
      </c>
      <c r="C172" s="127"/>
      <c r="D172" s="6">
        <f t="shared" si="10"/>
        <v>0</v>
      </c>
      <c r="E172" s="6"/>
      <c r="F172" s="6">
        <f t="shared" si="14"/>
        <v>0</v>
      </c>
      <c r="G172" s="149">
        <f>INDEX('Step 4 Stage Discharge'!E$26:F$126,MATCH(F172,'Step 4 Stage Discharge'!E$26:E$126,1),2)+(INDEX('Step 4 Stage Discharge'!E$26:F$126,MATCH(F172,'Step 4 Stage Discharge'!E$26:E$126,1)+1,2)-INDEX('Step 4 Stage Discharge'!E$26:F$126,MATCH(F172,'Step 4 Stage Discharge'!E$26:E$126,1),2))*(F172-INDEX('Step 4 Stage Discharge'!E$26:F$126,MATCH(F172,'Step 4 Stage Discharge'!E$26:E$126,1),1))/(INDEX('Step 4 Stage Discharge'!E$26:F$126,MATCH(F172,'Step 4 Stage Discharge'!E$26:E$126,1)+1,1)-INDEX('Step 4 Stage Discharge'!E$26:F$126,MATCH(F172,'Step 4 Stage Discharge'!E$26:E$126,1),1))</f>
        <v>0</v>
      </c>
      <c r="H172" s="149"/>
      <c r="I172" s="149">
        <f>INDEX('Step 4 Stage Discharge'!E$26:M$126,MATCH(F172,'Step 4 Stage Discharge'!E$26:E$126,1),9)+(INDEX('Step 4 Stage Discharge'!E$26:M$126,MATCH('Step 5 Routing'!F172,'Step 4 Stage Discharge'!E$26:E$126,1)+1,9)-INDEX('Step 4 Stage Discharge'!E$26:M$126,MATCH('Step 5 Routing'!F172,'Step 4 Stage Discharge'!E$26:E$126,1),9))*('Step 5 Routing'!F172-INDEX('Step 4 Stage Discharge'!E$26:M$126,MATCH('Step 5 Routing'!F172,'Step 4 Stage Discharge'!E$26:E$126,1),1))/(INDEX('Step 4 Stage Discharge'!E$26:M$126,MATCH('Step 5 Routing'!F172,'Step 4 Stage Discharge'!E$26:E$126,1)+1,1)-INDEX('Step 4 Stage Discharge'!E$26:M$126,MATCH('Step 5 Routing'!F172,'Step 4 Stage Discharge'!E$26:E$126,1),1))</f>
        <v>4.3639431710317386E-3</v>
      </c>
      <c r="J172" s="149"/>
      <c r="K172" s="6">
        <f t="shared" si="11"/>
        <v>0</v>
      </c>
      <c r="L172" s="6">
        <f t="shared" si="12"/>
        <v>0</v>
      </c>
    </row>
    <row r="173" spans="1:12">
      <c r="A173">
        <f t="shared" si="13"/>
        <v>160</v>
      </c>
      <c r="B173" s="136">
        <f>IF(C$5=Data!D$3,'Step 2 Inflow Hydrograph'!H217,IF(C$5=Data!D$4,'Step 2 Inflow Hydrograph'!I217,IF(C$5=Data!D$5,'Step 2 Inflow Hydrograph'!J217,'Step 2 Inflow Hydrograph'!K217)))</f>
        <v>0</v>
      </c>
      <c r="C173" s="127"/>
      <c r="D173" s="6">
        <f t="shared" si="10"/>
        <v>0</v>
      </c>
      <c r="E173" s="6"/>
      <c r="F173" s="6">
        <f t="shared" si="14"/>
        <v>0</v>
      </c>
      <c r="G173" s="149">
        <f>INDEX('Step 4 Stage Discharge'!E$26:F$126,MATCH(F173,'Step 4 Stage Discharge'!E$26:E$126,1),2)+(INDEX('Step 4 Stage Discharge'!E$26:F$126,MATCH(F173,'Step 4 Stage Discharge'!E$26:E$126,1)+1,2)-INDEX('Step 4 Stage Discharge'!E$26:F$126,MATCH(F173,'Step 4 Stage Discharge'!E$26:E$126,1),2))*(F173-INDEX('Step 4 Stage Discharge'!E$26:F$126,MATCH(F173,'Step 4 Stage Discharge'!E$26:E$126,1),1))/(INDEX('Step 4 Stage Discharge'!E$26:F$126,MATCH(F173,'Step 4 Stage Discharge'!E$26:E$126,1)+1,1)-INDEX('Step 4 Stage Discharge'!E$26:F$126,MATCH(F173,'Step 4 Stage Discharge'!E$26:E$126,1),1))</f>
        <v>0</v>
      </c>
      <c r="H173" s="149"/>
      <c r="I173" s="149">
        <f>INDEX('Step 4 Stage Discharge'!E$26:M$126,MATCH(F173,'Step 4 Stage Discharge'!E$26:E$126,1),9)+(INDEX('Step 4 Stage Discharge'!E$26:M$126,MATCH('Step 5 Routing'!F173,'Step 4 Stage Discharge'!E$26:E$126,1)+1,9)-INDEX('Step 4 Stage Discharge'!E$26:M$126,MATCH('Step 5 Routing'!F173,'Step 4 Stage Discharge'!E$26:E$126,1),9))*('Step 5 Routing'!F173-INDEX('Step 4 Stage Discharge'!E$26:M$126,MATCH('Step 5 Routing'!F173,'Step 4 Stage Discharge'!E$26:E$126,1),1))/(INDEX('Step 4 Stage Discharge'!E$26:M$126,MATCH('Step 5 Routing'!F173,'Step 4 Stage Discharge'!E$26:E$126,1)+1,1)-INDEX('Step 4 Stage Discharge'!E$26:M$126,MATCH('Step 5 Routing'!F173,'Step 4 Stage Discharge'!E$26:E$126,1),1))</f>
        <v>4.3639431710317386E-3</v>
      </c>
      <c r="J173" s="149"/>
      <c r="K173" s="6">
        <f t="shared" si="11"/>
        <v>0</v>
      </c>
      <c r="L173" s="6">
        <f t="shared" si="12"/>
        <v>0</v>
      </c>
    </row>
    <row r="174" spans="1:12">
      <c r="A174">
        <f t="shared" si="13"/>
        <v>161</v>
      </c>
      <c r="B174" s="136">
        <f>IF(C$5=Data!D$3,'Step 2 Inflow Hydrograph'!H218,IF(C$5=Data!D$4,'Step 2 Inflow Hydrograph'!I218,IF(C$5=Data!D$5,'Step 2 Inflow Hydrograph'!J218,'Step 2 Inflow Hydrograph'!K218)))</f>
        <v>0</v>
      </c>
      <c r="C174" s="127"/>
      <c r="D174" s="6">
        <f t="shared" si="10"/>
        <v>0</v>
      </c>
      <c r="E174" s="6"/>
      <c r="F174" s="6">
        <f t="shared" si="14"/>
        <v>0</v>
      </c>
      <c r="G174" s="149">
        <f>INDEX('Step 4 Stage Discharge'!E$26:F$126,MATCH(F174,'Step 4 Stage Discharge'!E$26:E$126,1),2)+(INDEX('Step 4 Stage Discharge'!E$26:F$126,MATCH(F174,'Step 4 Stage Discharge'!E$26:E$126,1)+1,2)-INDEX('Step 4 Stage Discharge'!E$26:F$126,MATCH(F174,'Step 4 Stage Discharge'!E$26:E$126,1),2))*(F174-INDEX('Step 4 Stage Discharge'!E$26:F$126,MATCH(F174,'Step 4 Stage Discharge'!E$26:E$126,1),1))/(INDEX('Step 4 Stage Discharge'!E$26:F$126,MATCH(F174,'Step 4 Stage Discharge'!E$26:E$126,1)+1,1)-INDEX('Step 4 Stage Discharge'!E$26:F$126,MATCH(F174,'Step 4 Stage Discharge'!E$26:E$126,1),1))</f>
        <v>0</v>
      </c>
      <c r="H174" s="149"/>
      <c r="I174" s="149">
        <f>INDEX('Step 4 Stage Discharge'!E$26:M$126,MATCH(F174,'Step 4 Stage Discharge'!E$26:E$126,1),9)+(INDEX('Step 4 Stage Discharge'!E$26:M$126,MATCH('Step 5 Routing'!F174,'Step 4 Stage Discharge'!E$26:E$126,1)+1,9)-INDEX('Step 4 Stage Discharge'!E$26:M$126,MATCH('Step 5 Routing'!F174,'Step 4 Stage Discharge'!E$26:E$126,1),9))*('Step 5 Routing'!F174-INDEX('Step 4 Stage Discharge'!E$26:M$126,MATCH('Step 5 Routing'!F174,'Step 4 Stage Discharge'!E$26:E$126,1),1))/(INDEX('Step 4 Stage Discharge'!E$26:M$126,MATCH('Step 5 Routing'!F174,'Step 4 Stage Discharge'!E$26:E$126,1)+1,1)-INDEX('Step 4 Stage Discharge'!E$26:M$126,MATCH('Step 5 Routing'!F174,'Step 4 Stage Discharge'!E$26:E$126,1),1))</f>
        <v>4.3639431710317386E-3</v>
      </c>
      <c r="J174" s="149"/>
      <c r="K174" s="6">
        <f t="shared" si="11"/>
        <v>0</v>
      </c>
      <c r="L174" s="6">
        <f t="shared" si="12"/>
        <v>0</v>
      </c>
    </row>
    <row r="175" spans="1:12">
      <c r="A175">
        <f t="shared" si="13"/>
        <v>162</v>
      </c>
      <c r="B175" s="136">
        <f>IF(C$5=Data!D$3,'Step 2 Inflow Hydrograph'!H219,IF(C$5=Data!D$4,'Step 2 Inflow Hydrograph'!I219,IF(C$5=Data!D$5,'Step 2 Inflow Hydrograph'!J219,'Step 2 Inflow Hydrograph'!K219)))</f>
        <v>0</v>
      </c>
      <c r="C175" s="127"/>
      <c r="D175" s="6">
        <f t="shared" si="10"/>
        <v>0</v>
      </c>
      <c r="E175" s="6"/>
      <c r="F175" s="6">
        <f t="shared" si="14"/>
        <v>0</v>
      </c>
      <c r="G175" s="149">
        <f>INDEX('Step 4 Stage Discharge'!E$26:F$126,MATCH(F175,'Step 4 Stage Discharge'!E$26:E$126,1),2)+(INDEX('Step 4 Stage Discharge'!E$26:F$126,MATCH(F175,'Step 4 Stage Discharge'!E$26:E$126,1)+1,2)-INDEX('Step 4 Stage Discharge'!E$26:F$126,MATCH(F175,'Step 4 Stage Discharge'!E$26:E$126,1),2))*(F175-INDEX('Step 4 Stage Discharge'!E$26:F$126,MATCH(F175,'Step 4 Stage Discharge'!E$26:E$126,1),1))/(INDEX('Step 4 Stage Discharge'!E$26:F$126,MATCH(F175,'Step 4 Stage Discharge'!E$26:E$126,1)+1,1)-INDEX('Step 4 Stage Discharge'!E$26:F$126,MATCH(F175,'Step 4 Stage Discharge'!E$26:E$126,1),1))</f>
        <v>0</v>
      </c>
      <c r="H175" s="149"/>
      <c r="I175" s="149">
        <f>INDEX('Step 4 Stage Discharge'!E$26:M$126,MATCH(F175,'Step 4 Stage Discharge'!E$26:E$126,1),9)+(INDEX('Step 4 Stage Discharge'!E$26:M$126,MATCH('Step 5 Routing'!F175,'Step 4 Stage Discharge'!E$26:E$126,1)+1,9)-INDEX('Step 4 Stage Discharge'!E$26:M$126,MATCH('Step 5 Routing'!F175,'Step 4 Stage Discharge'!E$26:E$126,1),9))*('Step 5 Routing'!F175-INDEX('Step 4 Stage Discharge'!E$26:M$126,MATCH('Step 5 Routing'!F175,'Step 4 Stage Discharge'!E$26:E$126,1),1))/(INDEX('Step 4 Stage Discharge'!E$26:M$126,MATCH('Step 5 Routing'!F175,'Step 4 Stage Discharge'!E$26:E$126,1)+1,1)-INDEX('Step 4 Stage Discharge'!E$26:M$126,MATCH('Step 5 Routing'!F175,'Step 4 Stage Discharge'!E$26:E$126,1),1))</f>
        <v>4.3639431710317386E-3</v>
      </c>
      <c r="J175" s="149"/>
      <c r="K175" s="6">
        <f t="shared" si="11"/>
        <v>0</v>
      </c>
      <c r="L175" s="6">
        <f t="shared" si="12"/>
        <v>0</v>
      </c>
    </row>
    <row r="176" spans="1:12">
      <c r="A176">
        <f t="shared" si="13"/>
        <v>163</v>
      </c>
      <c r="B176" s="136">
        <f>IF(C$5=Data!D$3,'Step 2 Inflow Hydrograph'!H220,IF(C$5=Data!D$4,'Step 2 Inflow Hydrograph'!I220,IF(C$5=Data!D$5,'Step 2 Inflow Hydrograph'!J220,'Step 2 Inflow Hydrograph'!K220)))</f>
        <v>0</v>
      </c>
      <c r="C176" s="127"/>
      <c r="D176" s="6">
        <f t="shared" si="10"/>
        <v>0</v>
      </c>
      <c r="E176" s="6"/>
      <c r="F176" s="6">
        <f t="shared" si="14"/>
        <v>0</v>
      </c>
      <c r="G176" s="149">
        <f>INDEX('Step 4 Stage Discharge'!E$26:F$126,MATCH(F176,'Step 4 Stage Discharge'!E$26:E$126,1),2)+(INDEX('Step 4 Stage Discharge'!E$26:F$126,MATCH(F176,'Step 4 Stage Discharge'!E$26:E$126,1)+1,2)-INDEX('Step 4 Stage Discharge'!E$26:F$126,MATCH(F176,'Step 4 Stage Discharge'!E$26:E$126,1),2))*(F176-INDEX('Step 4 Stage Discharge'!E$26:F$126,MATCH(F176,'Step 4 Stage Discharge'!E$26:E$126,1),1))/(INDEX('Step 4 Stage Discharge'!E$26:F$126,MATCH(F176,'Step 4 Stage Discharge'!E$26:E$126,1)+1,1)-INDEX('Step 4 Stage Discharge'!E$26:F$126,MATCH(F176,'Step 4 Stage Discharge'!E$26:E$126,1),1))</f>
        <v>0</v>
      </c>
      <c r="H176" s="149"/>
      <c r="I176" s="149">
        <f>INDEX('Step 4 Stage Discharge'!E$26:M$126,MATCH(F176,'Step 4 Stage Discharge'!E$26:E$126,1),9)+(INDEX('Step 4 Stage Discharge'!E$26:M$126,MATCH('Step 5 Routing'!F176,'Step 4 Stage Discharge'!E$26:E$126,1)+1,9)-INDEX('Step 4 Stage Discharge'!E$26:M$126,MATCH('Step 5 Routing'!F176,'Step 4 Stage Discharge'!E$26:E$126,1),9))*('Step 5 Routing'!F176-INDEX('Step 4 Stage Discharge'!E$26:M$126,MATCH('Step 5 Routing'!F176,'Step 4 Stage Discharge'!E$26:E$126,1),1))/(INDEX('Step 4 Stage Discharge'!E$26:M$126,MATCH('Step 5 Routing'!F176,'Step 4 Stage Discharge'!E$26:E$126,1)+1,1)-INDEX('Step 4 Stage Discharge'!E$26:M$126,MATCH('Step 5 Routing'!F176,'Step 4 Stage Discharge'!E$26:E$126,1),1))</f>
        <v>4.3639431710317386E-3</v>
      </c>
      <c r="J176" s="149"/>
      <c r="K176" s="6">
        <f t="shared" si="11"/>
        <v>0</v>
      </c>
      <c r="L176" s="6">
        <f t="shared" si="12"/>
        <v>0</v>
      </c>
    </row>
    <row r="177" spans="1:12">
      <c r="A177">
        <f t="shared" si="13"/>
        <v>164</v>
      </c>
      <c r="B177" s="136">
        <f>IF(C$5=Data!D$3,'Step 2 Inflow Hydrograph'!H221,IF(C$5=Data!D$4,'Step 2 Inflow Hydrograph'!I221,IF(C$5=Data!D$5,'Step 2 Inflow Hydrograph'!J221,'Step 2 Inflow Hydrograph'!K221)))</f>
        <v>0</v>
      </c>
      <c r="C177" s="127"/>
      <c r="D177" s="6">
        <f t="shared" si="10"/>
        <v>0</v>
      </c>
      <c r="E177" s="6"/>
      <c r="F177" s="6">
        <f t="shared" si="14"/>
        <v>0</v>
      </c>
      <c r="G177" s="149">
        <f>INDEX('Step 4 Stage Discharge'!E$26:F$126,MATCH(F177,'Step 4 Stage Discharge'!E$26:E$126,1),2)+(INDEX('Step 4 Stage Discharge'!E$26:F$126,MATCH(F177,'Step 4 Stage Discharge'!E$26:E$126,1)+1,2)-INDEX('Step 4 Stage Discharge'!E$26:F$126,MATCH(F177,'Step 4 Stage Discharge'!E$26:E$126,1),2))*(F177-INDEX('Step 4 Stage Discharge'!E$26:F$126,MATCH(F177,'Step 4 Stage Discharge'!E$26:E$126,1),1))/(INDEX('Step 4 Stage Discharge'!E$26:F$126,MATCH(F177,'Step 4 Stage Discharge'!E$26:E$126,1)+1,1)-INDEX('Step 4 Stage Discharge'!E$26:F$126,MATCH(F177,'Step 4 Stage Discharge'!E$26:E$126,1),1))</f>
        <v>0</v>
      </c>
      <c r="H177" s="149"/>
      <c r="I177" s="149">
        <f>INDEX('Step 4 Stage Discharge'!E$26:M$126,MATCH(F177,'Step 4 Stage Discharge'!E$26:E$126,1),9)+(INDEX('Step 4 Stage Discharge'!E$26:M$126,MATCH('Step 5 Routing'!F177,'Step 4 Stage Discharge'!E$26:E$126,1)+1,9)-INDEX('Step 4 Stage Discharge'!E$26:M$126,MATCH('Step 5 Routing'!F177,'Step 4 Stage Discharge'!E$26:E$126,1),9))*('Step 5 Routing'!F177-INDEX('Step 4 Stage Discharge'!E$26:M$126,MATCH('Step 5 Routing'!F177,'Step 4 Stage Discharge'!E$26:E$126,1),1))/(INDEX('Step 4 Stage Discharge'!E$26:M$126,MATCH('Step 5 Routing'!F177,'Step 4 Stage Discharge'!E$26:E$126,1)+1,1)-INDEX('Step 4 Stage Discharge'!E$26:M$126,MATCH('Step 5 Routing'!F177,'Step 4 Stage Discharge'!E$26:E$126,1),1))</f>
        <v>4.3639431710317386E-3</v>
      </c>
      <c r="J177" s="149"/>
      <c r="K177" s="6">
        <f t="shared" si="11"/>
        <v>0</v>
      </c>
      <c r="L177" s="6">
        <f t="shared" si="12"/>
        <v>0</v>
      </c>
    </row>
    <row r="178" spans="1:12">
      <c r="A178">
        <f t="shared" si="13"/>
        <v>165</v>
      </c>
      <c r="B178" s="136">
        <f>IF(C$5=Data!D$3,'Step 2 Inflow Hydrograph'!H222,IF(C$5=Data!D$4,'Step 2 Inflow Hydrograph'!I222,IF(C$5=Data!D$5,'Step 2 Inflow Hydrograph'!J222,'Step 2 Inflow Hydrograph'!K222)))</f>
        <v>0</v>
      </c>
      <c r="C178" s="127"/>
      <c r="D178" s="6">
        <f t="shared" si="10"/>
        <v>0</v>
      </c>
      <c r="E178" s="6"/>
      <c r="F178" s="6">
        <f t="shared" si="14"/>
        <v>0</v>
      </c>
      <c r="G178" s="149">
        <f>INDEX('Step 4 Stage Discharge'!E$26:F$126,MATCH(F178,'Step 4 Stage Discharge'!E$26:E$126,1),2)+(INDEX('Step 4 Stage Discharge'!E$26:F$126,MATCH(F178,'Step 4 Stage Discharge'!E$26:E$126,1)+1,2)-INDEX('Step 4 Stage Discharge'!E$26:F$126,MATCH(F178,'Step 4 Stage Discharge'!E$26:E$126,1),2))*(F178-INDEX('Step 4 Stage Discharge'!E$26:F$126,MATCH(F178,'Step 4 Stage Discharge'!E$26:E$126,1),1))/(INDEX('Step 4 Stage Discharge'!E$26:F$126,MATCH(F178,'Step 4 Stage Discharge'!E$26:E$126,1)+1,1)-INDEX('Step 4 Stage Discharge'!E$26:F$126,MATCH(F178,'Step 4 Stage Discharge'!E$26:E$126,1),1))</f>
        <v>0</v>
      </c>
      <c r="H178" s="149"/>
      <c r="I178" s="149">
        <f>INDEX('Step 4 Stage Discharge'!E$26:M$126,MATCH(F178,'Step 4 Stage Discharge'!E$26:E$126,1),9)+(INDEX('Step 4 Stage Discharge'!E$26:M$126,MATCH('Step 5 Routing'!F178,'Step 4 Stage Discharge'!E$26:E$126,1)+1,9)-INDEX('Step 4 Stage Discharge'!E$26:M$126,MATCH('Step 5 Routing'!F178,'Step 4 Stage Discharge'!E$26:E$126,1),9))*('Step 5 Routing'!F178-INDEX('Step 4 Stage Discharge'!E$26:M$126,MATCH('Step 5 Routing'!F178,'Step 4 Stage Discharge'!E$26:E$126,1),1))/(INDEX('Step 4 Stage Discharge'!E$26:M$126,MATCH('Step 5 Routing'!F178,'Step 4 Stage Discharge'!E$26:E$126,1)+1,1)-INDEX('Step 4 Stage Discharge'!E$26:M$126,MATCH('Step 5 Routing'!F178,'Step 4 Stage Discharge'!E$26:E$126,1),1))</f>
        <v>4.3639431710317386E-3</v>
      </c>
      <c r="J178" s="149"/>
      <c r="K178" s="6">
        <f t="shared" si="11"/>
        <v>0</v>
      </c>
      <c r="L178" s="6">
        <f t="shared" si="12"/>
        <v>0</v>
      </c>
    </row>
    <row r="179" spans="1:12">
      <c r="A179">
        <f t="shared" si="13"/>
        <v>166</v>
      </c>
      <c r="B179" s="136">
        <f>IF(C$5=Data!D$3,'Step 2 Inflow Hydrograph'!H223,IF(C$5=Data!D$4,'Step 2 Inflow Hydrograph'!I223,IF(C$5=Data!D$5,'Step 2 Inflow Hydrograph'!J223,'Step 2 Inflow Hydrograph'!K223)))</f>
        <v>0</v>
      </c>
      <c r="C179" s="127"/>
      <c r="D179" s="6">
        <f t="shared" si="10"/>
        <v>0</v>
      </c>
      <c r="E179" s="6"/>
      <c r="F179" s="6">
        <f t="shared" si="14"/>
        <v>0</v>
      </c>
      <c r="G179" s="149">
        <f>INDEX('Step 4 Stage Discharge'!E$26:F$126,MATCH(F179,'Step 4 Stage Discharge'!E$26:E$126,1),2)+(INDEX('Step 4 Stage Discharge'!E$26:F$126,MATCH(F179,'Step 4 Stage Discharge'!E$26:E$126,1)+1,2)-INDEX('Step 4 Stage Discharge'!E$26:F$126,MATCH(F179,'Step 4 Stage Discharge'!E$26:E$126,1),2))*(F179-INDEX('Step 4 Stage Discharge'!E$26:F$126,MATCH(F179,'Step 4 Stage Discharge'!E$26:E$126,1),1))/(INDEX('Step 4 Stage Discharge'!E$26:F$126,MATCH(F179,'Step 4 Stage Discharge'!E$26:E$126,1)+1,1)-INDEX('Step 4 Stage Discharge'!E$26:F$126,MATCH(F179,'Step 4 Stage Discharge'!E$26:E$126,1),1))</f>
        <v>0</v>
      </c>
      <c r="H179" s="149"/>
      <c r="I179" s="149">
        <f>INDEX('Step 4 Stage Discharge'!E$26:M$126,MATCH(F179,'Step 4 Stage Discharge'!E$26:E$126,1),9)+(INDEX('Step 4 Stage Discharge'!E$26:M$126,MATCH('Step 5 Routing'!F179,'Step 4 Stage Discharge'!E$26:E$126,1)+1,9)-INDEX('Step 4 Stage Discharge'!E$26:M$126,MATCH('Step 5 Routing'!F179,'Step 4 Stage Discharge'!E$26:E$126,1),9))*('Step 5 Routing'!F179-INDEX('Step 4 Stage Discharge'!E$26:M$126,MATCH('Step 5 Routing'!F179,'Step 4 Stage Discharge'!E$26:E$126,1),1))/(INDEX('Step 4 Stage Discharge'!E$26:M$126,MATCH('Step 5 Routing'!F179,'Step 4 Stage Discharge'!E$26:E$126,1)+1,1)-INDEX('Step 4 Stage Discharge'!E$26:M$126,MATCH('Step 5 Routing'!F179,'Step 4 Stage Discharge'!E$26:E$126,1),1))</f>
        <v>4.3639431710317386E-3</v>
      </c>
      <c r="J179" s="149"/>
      <c r="K179" s="6">
        <f t="shared" si="11"/>
        <v>0</v>
      </c>
      <c r="L179" s="6">
        <f t="shared" si="12"/>
        <v>0</v>
      </c>
    </row>
    <row r="180" spans="1:12">
      <c r="A180">
        <f t="shared" si="13"/>
        <v>167</v>
      </c>
      <c r="B180" s="136">
        <f>IF(C$5=Data!D$3,'Step 2 Inflow Hydrograph'!H224,IF(C$5=Data!D$4,'Step 2 Inflow Hydrograph'!I224,IF(C$5=Data!D$5,'Step 2 Inflow Hydrograph'!J224,'Step 2 Inflow Hydrograph'!K224)))</f>
        <v>0</v>
      </c>
      <c r="C180" s="127"/>
      <c r="D180" s="6">
        <f t="shared" si="10"/>
        <v>0</v>
      </c>
      <c r="E180" s="6"/>
      <c r="F180" s="6">
        <f t="shared" si="14"/>
        <v>0</v>
      </c>
      <c r="G180" s="149">
        <f>INDEX('Step 4 Stage Discharge'!E$26:F$126,MATCH(F180,'Step 4 Stage Discharge'!E$26:E$126,1),2)+(INDEX('Step 4 Stage Discharge'!E$26:F$126,MATCH(F180,'Step 4 Stage Discharge'!E$26:E$126,1)+1,2)-INDEX('Step 4 Stage Discharge'!E$26:F$126,MATCH(F180,'Step 4 Stage Discharge'!E$26:E$126,1),2))*(F180-INDEX('Step 4 Stage Discharge'!E$26:F$126,MATCH(F180,'Step 4 Stage Discharge'!E$26:E$126,1),1))/(INDEX('Step 4 Stage Discharge'!E$26:F$126,MATCH(F180,'Step 4 Stage Discharge'!E$26:E$126,1)+1,1)-INDEX('Step 4 Stage Discharge'!E$26:F$126,MATCH(F180,'Step 4 Stage Discharge'!E$26:E$126,1),1))</f>
        <v>0</v>
      </c>
      <c r="H180" s="149"/>
      <c r="I180" s="149">
        <f>INDEX('Step 4 Stage Discharge'!E$26:M$126,MATCH(F180,'Step 4 Stage Discharge'!E$26:E$126,1),9)+(INDEX('Step 4 Stage Discharge'!E$26:M$126,MATCH('Step 5 Routing'!F180,'Step 4 Stage Discharge'!E$26:E$126,1)+1,9)-INDEX('Step 4 Stage Discharge'!E$26:M$126,MATCH('Step 5 Routing'!F180,'Step 4 Stage Discharge'!E$26:E$126,1),9))*('Step 5 Routing'!F180-INDEX('Step 4 Stage Discharge'!E$26:M$126,MATCH('Step 5 Routing'!F180,'Step 4 Stage Discharge'!E$26:E$126,1),1))/(INDEX('Step 4 Stage Discharge'!E$26:M$126,MATCH('Step 5 Routing'!F180,'Step 4 Stage Discharge'!E$26:E$126,1)+1,1)-INDEX('Step 4 Stage Discharge'!E$26:M$126,MATCH('Step 5 Routing'!F180,'Step 4 Stage Discharge'!E$26:E$126,1),1))</f>
        <v>4.3639431710317386E-3</v>
      </c>
      <c r="J180" s="149"/>
      <c r="K180" s="6">
        <f t="shared" si="11"/>
        <v>0</v>
      </c>
      <c r="L180" s="6">
        <f t="shared" si="12"/>
        <v>0</v>
      </c>
    </row>
    <row r="181" spans="1:12">
      <c r="A181">
        <f t="shared" si="13"/>
        <v>168</v>
      </c>
      <c r="B181" s="136">
        <f>IF(C$5=Data!D$3,'Step 2 Inflow Hydrograph'!H225,IF(C$5=Data!D$4,'Step 2 Inflow Hydrograph'!I225,IF(C$5=Data!D$5,'Step 2 Inflow Hydrograph'!J225,'Step 2 Inflow Hydrograph'!K225)))</f>
        <v>0</v>
      </c>
      <c r="C181" s="127"/>
      <c r="D181" s="6">
        <f t="shared" si="10"/>
        <v>0</v>
      </c>
      <c r="E181" s="6"/>
      <c r="F181" s="6">
        <f t="shared" si="14"/>
        <v>0</v>
      </c>
      <c r="G181" s="149">
        <f>INDEX('Step 4 Stage Discharge'!E$26:F$126,MATCH(F181,'Step 4 Stage Discharge'!E$26:E$126,1),2)+(INDEX('Step 4 Stage Discharge'!E$26:F$126,MATCH(F181,'Step 4 Stage Discharge'!E$26:E$126,1)+1,2)-INDEX('Step 4 Stage Discharge'!E$26:F$126,MATCH(F181,'Step 4 Stage Discharge'!E$26:E$126,1),2))*(F181-INDEX('Step 4 Stage Discharge'!E$26:F$126,MATCH(F181,'Step 4 Stage Discharge'!E$26:E$126,1),1))/(INDEX('Step 4 Stage Discharge'!E$26:F$126,MATCH(F181,'Step 4 Stage Discharge'!E$26:E$126,1)+1,1)-INDEX('Step 4 Stage Discharge'!E$26:F$126,MATCH(F181,'Step 4 Stage Discharge'!E$26:E$126,1),1))</f>
        <v>0</v>
      </c>
      <c r="H181" s="149"/>
      <c r="I181" s="149">
        <f>INDEX('Step 4 Stage Discharge'!E$26:M$126,MATCH(F181,'Step 4 Stage Discharge'!E$26:E$126,1),9)+(INDEX('Step 4 Stage Discharge'!E$26:M$126,MATCH('Step 5 Routing'!F181,'Step 4 Stage Discharge'!E$26:E$126,1)+1,9)-INDEX('Step 4 Stage Discharge'!E$26:M$126,MATCH('Step 5 Routing'!F181,'Step 4 Stage Discharge'!E$26:E$126,1),9))*('Step 5 Routing'!F181-INDEX('Step 4 Stage Discharge'!E$26:M$126,MATCH('Step 5 Routing'!F181,'Step 4 Stage Discharge'!E$26:E$126,1),1))/(INDEX('Step 4 Stage Discharge'!E$26:M$126,MATCH('Step 5 Routing'!F181,'Step 4 Stage Discharge'!E$26:E$126,1)+1,1)-INDEX('Step 4 Stage Discharge'!E$26:M$126,MATCH('Step 5 Routing'!F181,'Step 4 Stage Discharge'!E$26:E$126,1),1))</f>
        <v>4.3639431710317386E-3</v>
      </c>
      <c r="J181" s="149"/>
      <c r="K181" s="6">
        <f t="shared" si="11"/>
        <v>0</v>
      </c>
      <c r="L181" s="6">
        <f t="shared" si="12"/>
        <v>0</v>
      </c>
    </row>
    <row r="182" spans="1:12">
      <c r="A182">
        <f t="shared" si="13"/>
        <v>169</v>
      </c>
      <c r="B182" s="136">
        <f>IF(C$5=Data!D$3,'Step 2 Inflow Hydrograph'!H226,IF(C$5=Data!D$4,'Step 2 Inflow Hydrograph'!I226,IF(C$5=Data!D$5,'Step 2 Inflow Hydrograph'!J226,'Step 2 Inflow Hydrograph'!K226)))</f>
        <v>0</v>
      </c>
      <c r="C182" s="127"/>
      <c r="D182" s="6">
        <f t="shared" si="10"/>
        <v>0</v>
      </c>
      <c r="E182" s="6"/>
      <c r="F182" s="6">
        <f t="shared" si="14"/>
        <v>0</v>
      </c>
      <c r="G182" s="149">
        <f>INDEX('Step 4 Stage Discharge'!E$26:F$126,MATCH(F182,'Step 4 Stage Discharge'!E$26:E$126,1),2)+(INDEX('Step 4 Stage Discharge'!E$26:F$126,MATCH(F182,'Step 4 Stage Discharge'!E$26:E$126,1)+1,2)-INDEX('Step 4 Stage Discharge'!E$26:F$126,MATCH(F182,'Step 4 Stage Discharge'!E$26:E$126,1),2))*(F182-INDEX('Step 4 Stage Discharge'!E$26:F$126,MATCH(F182,'Step 4 Stage Discharge'!E$26:E$126,1),1))/(INDEX('Step 4 Stage Discharge'!E$26:F$126,MATCH(F182,'Step 4 Stage Discharge'!E$26:E$126,1)+1,1)-INDEX('Step 4 Stage Discharge'!E$26:F$126,MATCH(F182,'Step 4 Stage Discharge'!E$26:E$126,1),1))</f>
        <v>0</v>
      </c>
      <c r="H182" s="149"/>
      <c r="I182" s="149">
        <f>INDEX('Step 4 Stage Discharge'!E$26:M$126,MATCH(F182,'Step 4 Stage Discharge'!E$26:E$126,1),9)+(INDEX('Step 4 Stage Discharge'!E$26:M$126,MATCH('Step 5 Routing'!F182,'Step 4 Stage Discharge'!E$26:E$126,1)+1,9)-INDEX('Step 4 Stage Discharge'!E$26:M$126,MATCH('Step 5 Routing'!F182,'Step 4 Stage Discharge'!E$26:E$126,1),9))*('Step 5 Routing'!F182-INDEX('Step 4 Stage Discharge'!E$26:M$126,MATCH('Step 5 Routing'!F182,'Step 4 Stage Discharge'!E$26:E$126,1),1))/(INDEX('Step 4 Stage Discharge'!E$26:M$126,MATCH('Step 5 Routing'!F182,'Step 4 Stage Discharge'!E$26:E$126,1)+1,1)-INDEX('Step 4 Stage Discharge'!E$26:M$126,MATCH('Step 5 Routing'!F182,'Step 4 Stage Discharge'!E$26:E$126,1),1))</f>
        <v>4.3639431710317386E-3</v>
      </c>
      <c r="J182" s="149"/>
      <c r="K182" s="6">
        <f t="shared" si="11"/>
        <v>0</v>
      </c>
      <c r="L182" s="6">
        <f t="shared" si="12"/>
        <v>0</v>
      </c>
    </row>
    <row r="183" spans="1:12">
      <c r="A183">
        <f t="shared" si="13"/>
        <v>170</v>
      </c>
      <c r="B183" s="136">
        <f>IF(C$5=Data!D$3,'Step 2 Inflow Hydrograph'!H227,IF(C$5=Data!D$4,'Step 2 Inflow Hydrograph'!I227,IF(C$5=Data!D$5,'Step 2 Inflow Hydrograph'!J227,'Step 2 Inflow Hydrograph'!K227)))</f>
        <v>0</v>
      </c>
      <c r="C183" s="127"/>
      <c r="D183" s="6">
        <f t="shared" si="10"/>
        <v>0</v>
      </c>
      <c r="E183" s="6"/>
      <c r="F183" s="6">
        <f t="shared" si="14"/>
        <v>0</v>
      </c>
      <c r="G183" s="149">
        <f>INDEX('Step 4 Stage Discharge'!E$26:F$126,MATCH(F183,'Step 4 Stage Discharge'!E$26:E$126,1),2)+(INDEX('Step 4 Stage Discharge'!E$26:F$126,MATCH(F183,'Step 4 Stage Discharge'!E$26:E$126,1)+1,2)-INDEX('Step 4 Stage Discharge'!E$26:F$126,MATCH(F183,'Step 4 Stage Discharge'!E$26:E$126,1),2))*(F183-INDEX('Step 4 Stage Discharge'!E$26:F$126,MATCH(F183,'Step 4 Stage Discharge'!E$26:E$126,1),1))/(INDEX('Step 4 Stage Discharge'!E$26:F$126,MATCH(F183,'Step 4 Stage Discharge'!E$26:E$126,1)+1,1)-INDEX('Step 4 Stage Discharge'!E$26:F$126,MATCH(F183,'Step 4 Stage Discharge'!E$26:E$126,1),1))</f>
        <v>0</v>
      </c>
      <c r="H183" s="149"/>
      <c r="I183" s="149">
        <f>INDEX('Step 4 Stage Discharge'!E$26:M$126,MATCH(F183,'Step 4 Stage Discharge'!E$26:E$126,1),9)+(INDEX('Step 4 Stage Discharge'!E$26:M$126,MATCH('Step 5 Routing'!F183,'Step 4 Stage Discharge'!E$26:E$126,1)+1,9)-INDEX('Step 4 Stage Discharge'!E$26:M$126,MATCH('Step 5 Routing'!F183,'Step 4 Stage Discharge'!E$26:E$126,1),9))*('Step 5 Routing'!F183-INDEX('Step 4 Stage Discharge'!E$26:M$126,MATCH('Step 5 Routing'!F183,'Step 4 Stage Discharge'!E$26:E$126,1),1))/(INDEX('Step 4 Stage Discharge'!E$26:M$126,MATCH('Step 5 Routing'!F183,'Step 4 Stage Discharge'!E$26:E$126,1)+1,1)-INDEX('Step 4 Stage Discharge'!E$26:M$126,MATCH('Step 5 Routing'!F183,'Step 4 Stage Discharge'!E$26:E$126,1),1))</f>
        <v>4.3639431710317386E-3</v>
      </c>
      <c r="J183" s="149"/>
      <c r="K183" s="6">
        <f t="shared" si="11"/>
        <v>0</v>
      </c>
      <c r="L183" s="6">
        <f t="shared" si="12"/>
        <v>0</v>
      </c>
    </row>
    <row r="184" spans="1:12">
      <c r="A184">
        <f t="shared" si="13"/>
        <v>171</v>
      </c>
      <c r="B184" s="136">
        <f>IF(C$5=Data!D$3,'Step 2 Inflow Hydrograph'!H228,IF(C$5=Data!D$4,'Step 2 Inflow Hydrograph'!I228,IF(C$5=Data!D$5,'Step 2 Inflow Hydrograph'!J228,'Step 2 Inflow Hydrograph'!K228)))</f>
        <v>0</v>
      </c>
      <c r="C184" s="127"/>
      <c r="D184" s="6">
        <f t="shared" si="10"/>
        <v>0</v>
      </c>
      <c r="E184" s="6"/>
      <c r="F184" s="6">
        <f t="shared" si="14"/>
        <v>0</v>
      </c>
      <c r="G184" s="149">
        <f>INDEX('Step 4 Stage Discharge'!E$26:F$126,MATCH(F184,'Step 4 Stage Discharge'!E$26:E$126,1),2)+(INDEX('Step 4 Stage Discharge'!E$26:F$126,MATCH(F184,'Step 4 Stage Discharge'!E$26:E$126,1)+1,2)-INDEX('Step 4 Stage Discharge'!E$26:F$126,MATCH(F184,'Step 4 Stage Discharge'!E$26:E$126,1),2))*(F184-INDEX('Step 4 Stage Discharge'!E$26:F$126,MATCH(F184,'Step 4 Stage Discharge'!E$26:E$126,1),1))/(INDEX('Step 4 Stage Discharge'!E$26:F$126,MATCH(F184,'Step 4 Stage Discharge'!E$26:E$126,1)+1,1)-INDEX('Step 4 Stage Discharge'!E$26:F$126,MATCH(F184,'Step 4 Stage Discharge'!E$26:E$126,1),1))</f>
        <v>0</v>
      </c>
      <c r="H184" s="149"/>
      <c r="I184" s="149">
        <f>INDEX('Step 4 Stage Discharge'!E$26:M$126,MATCH(F184,'Step 4 Stage Discharge'!E$26:E$126,1),9)+(INDEX('Step 4 Stage Discharge'!E$26:M$126,MATCH('Step 5 Routing'!F184,'Step 4 Stage Discharge'!E$26:E$126,1)+1,9)-INDEX('Step 4 Stage Discharge'!E$26:M$126,MATCH('Step 5 Routing'!F184,'Step 4 Stage Discharge'!E$26:E$126,1),9))*('Step 5 Routing'!F184-INDEX('Step 4 Stage Discharge'!E$26:M$126,MATCH('Step 5 Routing'!F184,'Step 4 Stage Discharge'!E$26:E$126,1),1))/(INDEX('Step 4 Stage Discharge'!E$26:M$126,MATCH('Step 5 Routing'!F184,'Step 4 Stage Discharge'!E$26:E$126,1)+1,1)-INDEX('Step 4 Stage Discharge'!E$26:M$126,MATCH('Step 5 Routing'!F184,'Step 4 Stage Discharge'!E$26:E$126,1),1))</f>
        <v>4.3639431710317386E-3</v>
      </c>
      <c r="J184" s="149"/>
      <c r="K184" s="6">
        <f t="shared" si="11"/>
        <v>0</v>
      </c>
      <c r="L184" s="6">
        <f t="shared" si="12"/>
        <v>0</v>
      </c>
    </row>
    <row r="185" spans="1:12">
      <c r="A185">
        <f t="shared" si="13"/>
        <v>172</v>
      </c>
      <c r="B185" s="136">
        <f>IF(C$5=Data!D$3,'Step 2 Inflow Hydrograph'!H229,IF(C$5=Data!D$4,'Step 2 Inflow Hydrograph'!I229,IF(C$5=Data!D$5,'Step 2 Inflow Hydrograph'!J229,'Step 2 Inflow Hydrograph'!K229)))</f>
        <v>0</v>
      </c>
      <c r="C185" s="127"/>
      <c r="D185" s="6">
        <f t="shared" si="10"/>
        <v>0</v>
      </c>
      <c r="E185" s="6"/>
      <c r="F185" s="6">
        <f t="shared" si="14"/>
        <v>0</v>
      </c>
      <c r="G185" s="149">
        <f>INDEX('Step 4 Stage Discharge'!E$26:F$126,MATCH(F185,'Step 4 Stage Discharge'!E$26:E$126,1),2)+(INDEX('Step 4 Stage Discharge'!E$26:F$126,MATCH(F185,'Step 4 Stage Discharge'!E$26:E$126,1)+1,2)-INDEX('Step 4 Stage Discharge'!E$26:F$126,MATCH(F185,'Step 4 Stage Discharge'!E$26:E$126,1),2))*(F185-INDEX('Step 4 Stage Discharge'!E$26:F$126,MATCH(F185,'Step 4 Stage Discharge'!E$26:E$126,1),1))/(INDEX('Step 4 Stage Discharge'!E$26:F$126,MATCH(F185,'Step 4 Stage Discharge'!E$26:E$126,1)+1,1)-INDEX('Step 4 Stage Discharge'!E$26:F$126,MATCH(F185,'Step 4 Stage Discharge'!E$26:E$126,1),1))</f>
        <v>0</v>
      </c>
      <c r="H185" s="149"/>
      <c r="I185" s="149">
        <f>INDEX('Step 4 Stage Discharge'!E$26:M$126,MATCH(F185,'Step 4 Stage Discharge'!E$26:E$126,1),9)+(INDEX('Step 4 Stage Discharge'!E$26:M$126,MATCH('Step 5 Routing'!F185,'Step 4 Stage Discharge'!E$26:E$126,1)+1,9)-INDEX('Step 4 Stage Discharge'!E$26:M$126,MATCH('Step 5 Routing'!F185,'Step 4 Stage Discharge'!E$26:E$126,1),9))*('Step 5 Routing'!F185-INDEX('Step 4 Stage Discharge'!E$26:M$126,MATCH('Step 5 Routing'!F185,'Step 4 Stage Discharge'!E$26:E$126,1),1))/(INDEX('Step 4 Stage Discharge'!E$26:M$126,MATCH('Step 5 Routing'!F185,'Step 4 Stage Discharge'!E$26:E$126,1)+1,1)-INDEX('Step 4 Stage Discharge'!E$26:M$126,MATCH('Step 5 Routing'!F185,'Step 4 Stage Discharge'!E$26:E$126,1),1))</f>
        <v>4.3639431710317386E-3</v>
      </c>
      <c r="J185" s="149"/>
      <c r="K185" s="6">
        <f t="shared" si="11"/>
        <v>0</v>
      </c>
      <c r="L185" s="6">
        <f t="shared" si="12"/>
        <v>0</v>
      </c>
    </row>
    <row r="186" spans="1:12">
      <c r="A186">
        <f t="shared" si="13"/>
        <v>173</v>
      </c>
      <c r="B186" s="136">
        <f>IF(C$5=Data!D$3,'Step 2 Inflow Hydrograph'!H230,IF(C$5=Data!D$4,'Step 2 Inflow Hydrograph'!I230,IF(C$5=Data!D$5,'Step 2 Inflow Hydrograph'!J230,'Step 2 Inflow Hydrograph'!K230)))</f>
        <v>0</v>
      </c>
      <c r="C186" s="127"/>
      <c r="D186" s="6">
        <f t="shared" si="10"/>
        <v>0</v>
      </c>
      <c r="E186" s="6"/>
      <c r="F186" s="6">
        <f t="shared" si="14"/>
        <v>0</v>
      </c>
      <c r="G186" s="149">
        <f>INDEX('Step 4 Stage Discharge'!E$26:F$126,MATCH(F186,'Step 4 Stage Discharge'!E$26:E$126,1),2)+(INDEX('Step 4 Stage Discharge'!E$26:F$126,MATCH(F186,'Step 4 Stage Discharge'!E$26:E$126,1)+1,2)-INDEX('Step 4 Stage Discharge'!E$26:F$126,MATCH(F186,'Step 4 Stage Discharge'!E$26:E$126,1),2))*(F186-INDEX('Step 4 Stage Discharge'!E$26:F$126,MATCH(F186,'Step 4 Stage Discharge'!E$26:E$126,1),1))/(INDEX('Step 4 Stage Discharge'!E$26:F$126,MATCH(F186,'Step 4 Stage Discharge'!E$26:E$126,1)+1,1)-INDEX('Step 4 Stage Discharge'!E$26:F$126,MATCH(F186,'Step 4 Stage Discharge'!E$26:E$126,1),1))</f>
        <v>0</v>
      </c>
      <c r="H186" s="149"/>
      <c r="I186" s="149">
        <f>INDEX('Step 4 Stage Discharge'!E$26:M$126,MATCH(F186,'Step 4 Stage Discharge'!E$26:E$126,1),9)+(INDEX('Step 4 Stage Discharge'!E$26:M$126,MATCH('Step 5 Routing'!F186,'Step 4 Stage Discharge'!E$26:E$126,1)+1,9)-INDEX('Step 4 Stage Discharge'!E$26:M$126,MATCH('Step 5 Routing'!F186,'Step 4 Stage Discharge'!E$26:E$126,1),9))*('Step 5 Routing'!F186-INDEX('Step 4 Stage Discharge'!E$26:M$126,MATCH('Step 5 Routing'!F186,'Step 4 Stage Discharge'!E$26:E$126,1),1))/(INDEX('Step 4 Stage Discharge'!E$26:M$126,MATCH('Step 5 Routing'!F186,'Step 4 Stage Discharge'!E$26:E$126,1)+1,1)-INDEX('Step 4 Stage Discharge'!E$26:M$126,MATCH('Step 5 Routing'!F186,'Step 4 Stage Discharge'!E$26:E$126,1),1))</f>
        <v>4.3639431710317386E-3</v>
      </c>
      <c r="J186" s="149"/>
      <c r="K186" s="6">
        <f t="shared" si="11"/>
        <v>0</v>
      </c>
      <c r="L186" s="6">
        <f t="shared" si="12"/>
        <v>0</v>
      </c>
    </row>
    <row r="187" spans="1:12">
      <c r="A187">
        <f t="shared" si="13"/>
        <v>174</v>
      </c>
      <c r="B187" s="136">
        <f>IF(C$5=Data!D$3,'Step 2 Inflow Hydrograph'!H231,IF(C$5=Data!D$4,'Step 2 Inflow Hydrograph'!I231,IF(C$5=Data!D$5,'Step 2 Inflow Hydrograph'!J231,'Step 2 Inflow Hydrograph'!K231)))</f>
        <v>0</v>
      </c>
      <c r="C187" s="127"/>
      <c r="D187" s="6">
        <f t="shared" si="10"/>
        <v>0</v>
      </c>
      <c r="E187" s="6"/>
      <c r="F187" s="6">
        <f t="shared" si="14"/>
        <v>0</v>
      </c>
      <c r="G187" s="149">
        <f>INDEX('Step 4 Stage Discharge'!E$26:F$126,MATCH(F187,'Step 4 Stage Discharge'!E$26:E$126,1),2)+(INDEX('Step 4 Stage Discharge'!E$26:F$126,MATCH(F187,'Step 4 Stage Discharge'!E$26:E$126,1)+1,2)-INDEX('Step 4 Stage Discharge'!E$26:F$126,MATCH(F187,'Step 4 Stage Discharge'!E$26:E$126,1),2))*(F187-INDEX('Step 4 Stage Discharge'!E$26:F$126,MATCH(F187,'Step 4 Stage Discharge'!E$26:E$126,1),1))/(INDEX('Step 4 Stage Discharge'!E$26:F$126,MATCH(F187,'Step 4 Stage Discharge'!E$26:E$126,1)+1,1)-INDEX('Step 4 Stage Discharge'!E$26:F$126,MATCH(F187,'Step 4 Stage Discharge'!E$26:E$126,1),1))</f>
        <v>0</v>
      </c>
      <c r="H187" s="149"/>
      <c r="I187" s="149">
        <f>INDEX('Step 4 Stage Discharge'!E$26:M$126,MATCH(F187,'Step 4 Stage Discharge'!E$26:E$126,1),9)+(INDEX('Step 4 Stage Discharge'!E$26:M$126,MATCH('Step 5 Routing'!F187,'Step 4 Stage Discharge'!E$26:E$126,1)+1,9)-INDEX('Step 4 Stage Discharge'!E$26:M$126,MATCH('Step 5 Routing'!F187,'Step 4 Stage Discharge'!E$26:E$126,1),9))*('Step 5 Routing'!F187-INDEX('Step 4 Stage Discharge'!E$26:M$126,MATCH('Step 5 Routing'!F187,'Step 4 Stage Discharge'!E$26:E$126,1),1))/(INDEX('Step 4 Stage Discharge'!E$26:M$126,MATCH('Step 5 Routing'!F187,'Step 4 Stage Discharge'!E$26:E$126,1)+1,1)-INDEX('Step 4 Stage Discharge'!E$26:M$126,MATCH('Step 5 Routing'!F187,'Step 4 Stage Discharge'!E$26:E$126,1),1))</f>
        <v>4.3639431710317386E-3</v>
      </c>
      <c r="J187" s="149"/>
      <c r="K187" s="6">
        <f t="shared" si="11"/>
        <v>0</v>
      </c>
      <c r="L187" s="6">
        <f t="shared" si="12"/>
        <v>0</v>
      </c>
    </row>
    <row r="188" spans="1:12">
      <c r="A188">
        <f t="shared" si="13"/>
        <v>175</v>
      </c>
      <c r="B188" s="136">
        <f>IF(C$5=Data!D$3,'Step 2 Inflow Hydrograph'!H232,IF(C$5=Data!D$4,'Step 2 Inflow Hydrograph'!I232,IF(C$5=Data!D$5,'Step 2 Inflow Hydrograph'!J232,'Step 2 Inflow Hydrograph'!K232)))</f>
        <v>0</v>
      </c>
      <c r="C188" s="127"/>
      <c r="D188" s="6">
        <f t="shared" si="10"/>
        <v>0</v>
      </c>
      <c r="E188" s="6"/>
      <c r="F188" s="6">
        <f t="shared" si="14"/>
        <v>0</v>
      </c>
      <c r="G188" s="149">
        <f>INDEX('Step 4 Stage Discharge'!E$26:F$126,MATCH(F188,'Step 4 Stage Discharge'!E$26:E$126,1),2)+(INDEX('Step 4 Stage Discharge'!E$26:F$126,MATCH(F188,'Step 4 Stage Discharge'!E$26:E$126,1)+1,2)-INDEX('Step 4 Stage Discharge'!E$26:F$126,MATCH(F188,'Step 4 Stage Discharge'!E$26:E$126,1),2))*(F188-INDEX('Step 4 Stage Discharge'!E$26:F$126,MATCH(F188,'Step 4 Stage Discharge'!E$26:E$126,1),1))/(INDEX('Step 4 Stage Discharge'!E$26:F$126,MATCH(F188,'Step 4 Stage Discharge'!E$26:E$126,1)+1,1)-INDEX('Step 4 Stage Discharge'!E$26:F$126,MATCH(F188,'Step 4 Stage Discharge'!E$26:E$126,1),1))</f>
        <v>0</v>
      </c>
      <c r="H188" s="149"/>
      <c r="I188" s="149">
        <f>INDEX('Step 4 Stage Discharge'!E$26:M$126,MATCH(F188,'Step 4 Stage Discharge'!E$26:E$126,1),9)+(INDEX('Step 4 Stage Discharge'!E$26:M$126,MATCH('Step 5 Routing'!F188,'Step 4 Stage Discharge'!E$26:E$126,1)+1,9)-INDEX('Step 4 Stage Discharge'!E$26:M$126,MATCH('Step 5 Routing'!F188,'Step 4 Stage Discharge'!E$26:E$126,1),9))*('Step 5 Routing'!F188-INDEX('Step 4 Stage Discharge'!E$26:M$126,MATCH('Step 5 Routing'!F188,'Step 4 Stage Discharge'!E$26:E$126,1),1))/(INDEX('Step 4 Stage Discharge'!E$26:M$126,MATCH('Step 5 Routing'!F188,'Step 4 Stage Discharge'!E$26:E$126,1)+1,1)-INDEX('Step 4 Stage Discharge'!E$26:M$126,MATCH('Step 5 Routing'!F188,'Step 4 Stage Discharge'!E$26:E$126,1),1))</f>
        <v>4.3639431710317386E-3</v>
      </c>
      <c r="J188" s="149"/>
      <c r="K188" s="6">
        <f t="shared" si="11"/>
        <v>0</v>
      </c>
      <c r="L188" s="6">
        <f t="shared" si="12"/>
        <v>0</v>
      </c>
    </row>
    <row r="189" spans="1:12">
      <c r="A189">
        <f t="shared" si="13"/>
        <v>176</v>
      </c>
      <c r="B189" s="136">
        <f>IF(C$5=Data!D$3,'Step 2 Inflow Hydrograph'!H233,IF(C$5=Data!D$4,'Step 2 Inflow Hydrograph'!I233,IF(C$5=Data!D$5,'Step 2 Inflow Hydrograph'!J233,'Step 2 Inflow Hydrograph'!K233)))</f>
        <v>0</v>
      </c>
      <c r="C189" s="127"/>
      <c r="D189" s="6">
        <f t="shared" si="10"/>
        <v>0</v>
      </c>
      <c r="E189" s="6"/>
      <c r="F189" s="6">
        <f t="shared" si="14"/>
        <v>0</v>
      </c>
      <c r="G189" s="149">
        <f>INDEX('Step 4 Stage Discharge'!E$26:F$126,MATCH(F189,'Step 4 Stage Discharge'!E$26:E$126,1),2)+(INDEX('Step 4 Stage Discharge'!E$26:F$126,MATCH(F189,'Step 4 Stage Discharge'!E$26:E$126,1)+1,2)-INDEX('Step 4 Stage Discharge'!E$26:F$126,MATCH(F189,'Step 4 Stage Discharge'!E$26:E$126,1),2))*(F189-INDEX('Step 4 Stage Discharge'!E$26:F$126,MATCH(F189,'Step 4 Stage Discharge'!E$26:E$126,1),1))/(INDEX('Step 4 Stage Discharge'!E$26:F$126,MATCH(F189,'Step 4 Stage Discharge'!E$26:E$126,1)+1,1)-INDEX('Step 4 Stage Discharge'!E$26:F$126,MATCH(F189,'Step 4 Stage Discharge'!E$26:E$126,1),1))</f>
        <v>0</v>
      </c>
      <c r="H189" s="149"/>
      <c r="I189" s="149">
        <f>INDEX('Step 4 Stage Discharge'!E$26:M$126,MATCH(F189,'Step 4 Stage Discharge'!E$26:E$126,1),9)+(INDEX('Step 4 Stage Discharge'!E$26:M$126,MATCH('Step 5 Routing'!F189,'Step 4 Stage Discharge'!E$26:E$126,1)+1,9)-INDEX('Step 4 Stage Discharge'!E$26:M$126,MATCH('Step 5 Routing'!F189,'Step 4 Stage Discharge'!E$26:E$126,1),9))*('Step 5 Routing'!F189-INDEX('Step 4 Stage Discharge'!E$26:M$126,MATCH('Step 5 Routing'!F189,'Step 4 Stage Discharge'!E$26:E$126,1),1))/(INDEX('Step 4 Stage Discharge'!E$26:M$126,MATCH('Step 5 Routing'!F189,'Step 4 Stage Discharge'!E$26:E$126,1)+1,1)-INDEX('Step 4 Stage Discharge'!E$26:M$126,MATCH('Step 5 Routing'!F189,'Step 4 Stage Discharge'!E$26:E$126,1),1))</f>
        <v>4.3639431710317386E-3</v>
      </c>
      <c r="J189" s="149"/>
      <c r="K189" s="6">
        <f t="shared" si="11"/>
        <v>0</v>
      </c>
      <c r="L189" s="6">
        <f t="shared" si="12"/>
        <v>0</v>
      </c>
    </row>
    <row r="190" spans="1:12">
      <c r="A190">
        <f t="shared" si="13"/>
        <v>177</v>
      </c>
      <c r="B190" s="136">
        <f>IF(C$5=Data!D$3,'Step 2 Inflow Hydrograph'!H234,IF(C$5=Data!D$4,'Step 2 Inflow Hydrograph'!I234,IF(C$5=Data!D$5,'Step 2 Inflow Hydrograph'!J234,'Step 2 Inflow Hydrograph'!K234)))</f>
        <v>0</v>
      </c>
      <c r="C190" s="127"/>
      <c r="D190" s="6">
        <f t="shared" si="10"/>
        <v>0</v>
      </c>
      <c r="E190" s="6"/>
      <c r="F190" s="6">
        <f t="shared" si="14"/>
        <v>0</v>
      </c>
      <c r="G190" s="149">
        <f>INDEX('Step 4 Stage Discharge'!E$26:F$126,MATCH(F190,'Step 4 Stage Discharge'!E$26:E$126,1),2)+(INDEX('Step 4 Stage Discharge'!E$26:F$126,MATCH(F190,'Step 4 Stage Discharge'!E$26:E$126,1)+1,2)-INDEX('Step 4 Stage Discharge'!E$26:F$126,MATCH(F190,'Step 4 Stage Discharge'!E$26:E$126,1),2))*(F190-INDEX('Step 4 Stage Discharge'!E$26:F$126,MATCH(F190,'Step 4 Stage Discharge'!E$26:E$126,1),1))/(INDEX('Step 4 Stage Discharge'!E$26:F$126,MATCH(F190,'Step 4 Stage Discharge'!E$26:E$126,1)+1,1)-INDEX('Step 4 Stage Discharge'!E$26:F$126,MATCH(F190,'Step 4 Stage Discharge'!E$26:E$126,1),1))</f>
        <v>0</v>
      </c>
      <c r="H190" s="149"/>
      <c r="I190" s="149">
        <f>INDEX('Step 4 Stage Discharge'!E$26:M$126,MATCH(F190,'Step 4 Stage Discharge'!E$26:E$126,1),9)+(INDEX('Step 4 Stage Discharge'!E$26:M$126,MATCH('Step 5 Routing'!F190,'Step 4 Stage Discharge'!E$26:E$126,1)+1,9)-INDEX('Step 4 Stage Discharge'!E$26:M$126,MATCH('Step 5 Routing'!F190,'Step 4 Stage Discharge'!E$26:E$126,1),9))*('Step 5 Routing'!F190-INDEX('Step 4 Stage Discharge'!E$26:M$126,MATCH('Step 5 Routing'!F190,'Step 4 Stage Discharge'!E$26:E$126,1),1))/(INDEX('Step 4 Stage Discharge'!E$26:M$126,MATCH('Step 5 Routing'!F190,'Step 4 Stage Discharge'!E$26:E$126,1)+1,1)-INDEX('Step 4 Stage Discharge'!E$26:M$126,MATCH('Step 5 Routing'!F190,'Step 4 Stage Discharge'!E$26:E$126,1),1))</f>
        <v>4.3639431710317386E-3</v>
      </c>
      <c r="J190" s="149"/>
      <c r="K190" s="6">
        <f t="shared" si="11"/>
        <v>0</v>
      </c>
      <c r="L190" s="6">
        <f t="shared" si="12"/>
        <v>0</v>
      </c>
    </row>
    <row r="191" spans="1:12">
      <c r="A191">
        <f t="shared" si="13"/>
        <v>178</v>
      </c>
      <c r="B191" s="136">
        <f>IF(C$5=Data!D$3,'Step 2 Inflow Hydrograph'!H235,IF(C$5=Data!D$4,'Step 2 Inflow Hydrograph'!I235,IF(C$5=Data!D$5,'Step 2 Inflow Hydrograph'!J235,'Step 2 Inflow Hydrograph'!K235)))</f>
        <v>0</v>
      </c>
      <c r="C191" s="127"/>
      <c r="D191" s="6">
        <f t="shared" si="10"/>
        <v>0</v>
      </c>
      <c r="E191" s="6"/>
      <c r="F191" s="6">
        <f t="shared" si="14"/>
        <v>0</v>
      </c>
      <c r="G191" s="149">
        <f>INDEX('Step 4 Stage Discharge'!E$26:F$126,MATCH(F191,'Step 4 Stage Discharge'!E$26:E$126,1),2)+(INDEX('Step 4 Stage Discharge'!E$26:F$126,MATCH(F191,'Step 4 Stage Discharge'!E$26:E$126,1)+1,2)-INDEX('Step 4 Stage Discharge'!E$26:F$126,MATCH(F191,'Step 4 Stage Discharge'!E$26:E$126,1),2))*(F191-INDEX('Step 4 Stage Discharge'!E$26:F$126,MATCH(F191,'Step 4 Stage Discharge'!E$26:E$126,1),1))/(INDEX('Step 4 Stage Discharge'!E$26:F$126,MATCH(F191,'Step 4 Stage Discharge'!E$26:E$126,1)+1,1)-INDEX('Step 4 Stage Discharge'!E$26:F$126,MATCH(F191,'Step 4 Stage Discharge'!E$26:E$126,1),1))</f>
        <v>0</v>
      </c>
      <c r="H191" s="149"/>
      <c r="I191" s="149">
        <f>INDEX('Step 4 Stage Discharge'!E$26:M$126,MATCH(F191,'Step 4 Stage Discharge'!E$26:E$126,1),9)+(INDEX('Step 4 Stage Discharge'!E$26:M$126,MATCH('Step 5 Routing'!F191,'Step 4 Stage Discharge'!E$26:E$126,1)+1,9)-INDEX('Step 4 Stage Discharge'!E$26:M$126,MATCH('Step 5 Routing'!F191,'Step 4 Stage Discharge'!E$26:E$126,1),9))*('Step 5 Routing'!F191-INDEX('Step 4 Stage Discharge'!E$26:M$126,MATCH('Step 5 Routing'!F191,'Step 4 Stage Discharge'!E$26:E$126,1),1))/(INDEX('Step 4 Stage Discharge'!E$26:M$126,MATCH('Step 5 Routing'!F191,'Step 4 Stage Discharge'!E$26:E$126,1)+1,1)-INDEX('Step 4 Stage Discharge'!E$26:M$126,MATCH('Step 5 Routing'!F191,'Step 4 Stage Discharge'!E$26:E$126,1),1))</f>
        <v>4.3639431710317386E-3</v>
      </c>
      <c r="J191" s="149"/>
      <c r="K191" s="6">
        <f t="shared" si="11"/>
        <v>0</v>
      </c>
      <c r="L191" s="6">
        <f t="shared" si="12"/>
        <v>0</v>
      </c>
    </row>
    <row r="192" spans="1:12">
      <c r="A192">
        <f t="shared" si="13"/>
        <v>179</v>
      </c>
      <c r="B192" s="136">
        <f>IF(C$5=Data!D$3,'Step 2 Inflow Hydrograph'!H236,IF(C$5=Data!D$4,'Step 2 Inflow Hydrograph'!I236,IF(C$5=Data!D$5,'Step 2 Inflow Hydrograph'!J236,'Step 2 Inflow Hydrograph'!K236)))</f>
        <v>0</v>
      </c>
      <c r="C192" s="127"/>
      <c r="D192" s="6">
        <f t="shared" si="10"/>
        <v>0</v>
      </c>
      <c r="E192" s="6"/>
      <c r="F192" s="6">
        <f t="shared" si="14"/>
        <v>0</v>
      </c>
      <c r="G192" s="149">
        <f>INDEX('Step 4 Stage Discharge'!E$26:F$126,MATCH(F192,'Step 4 Stage Discharge'!E$26:E$126,1),2)+(INDEX('Step 4 Stage Discharge'!E$26:F$126,MATCH(F192,'Step 4 Stage Discharge'!E$26:E$126,1)+1,2)-INDEX('Step 4 Stage Discharge'!E$26:F$126,MATCH(F192,'Step 4 Stage Discharge'!E$26:E$126,1),2))*(F192-INDEX('Step 4 Stage Discharge'!E$26:F$126,MATCH(F192,'Step 4 Stage Discharge'!E$26:E$126,1),1))/(INDEX('Step 4 Stage Discharge'!E$26:F$126,MATCH(F192,'Step 4 Stage Discharge'!E$26:E$126,1)+1,1)-INDEX('Step 4 Stage Discharge'!E$26:F$126,MATCH(F192,'Step 4 Stage Discharge'!E$26:E$126,1),1))</f>
        <v>0</v>
      </c>
      <c r="H192" s="149"/>
      <c r="I192" s="149">
        <f>INDEX('Step 4 Stage Discharge'!E$26:M$126,MATCH(F192,'Step 4 Stage Discharge'!E$26:E$126,1),9)+(INDEX('Step 4 Stage Discharge'!E$26:M$126,MATCH('Step 5 Routing'!F192,'Step 4 Stage Discharge'!E$26:E$126,1)+1,9)-INDEX('Step 4 Stage Discharge'!E$26:M$126,MATCH('Step 5 Routing'!F192,'Step 4 Stage Discharge'!E$26:E$126,1),9))*('Step 5 Routing'!F192-INDEX('Step 4 Stage Discharge'!E$26:M$126,MATCH('Step 5 Routing'!F192,'Step 4 Stage Discharge'!E$26:E$126,1),1))/(INDEX('Step 4 Stage Discharge'!E$26:M$126,MATCH('Step 5 Routing'!F192,'Step 4 Stage Discharge'!E$26:E$126,1)+1,1)-INDEX('Step 4 Stage Discharge'!E$26:M$126,MATCH('Step 5 Routing'!F192,'Step 4 Stage Discharge'!E$26:E$126,1),1))</f>
        <v>4.3639431710317386E-3</v>
      </c>
      <c r="J192" s="149"/>
      <c r="K192" s="6">
        <f t="shared" si="11"/>
        <v>0</v>
      </c>
      <c r="L192" s="6">
        <f t="shared" si="12"/>
        <v>0</v>
      </c>
    </row>
    <row r="193" spans="1:12">
      <c r="A193">
        <f t="shared" si="13"/>
        <v>180</v>
      </c>
      <c r="B193" s="136">
        <f>IF(C$5=Data!D$3,'Step 2 Inflow Hydrograph'!H237,IF(C$5=Data!D$4,'Step 2 Inflow Hydrograph'!I237,IF(C$5=Data!D$5,'Step 2 Inflow Hydrograph'!J237,'Step 2 Inflow Hydrograph'!K237)))</f>
        <v>0</v>
      </c>
      <c r="C193" s="127"/>
      <c r="D193" s="6">
        <f t="shared" si="10"/>
        <v>0</v>
      </c>
      <c r="E193" s="6"/>
      <c r="F193" s="6">
        <f t="shared" si="14"/>
        <v>0</v>
      </c>
      <c r="G193" s="149">
        <f>INDEX('Step 4 Stage Discharge'!E$26:F$126,MATCH(F193,'Step 4 Stage Discharge'!E$26:E$126,1),2)+(INDEX('Step 4 Stage Discharge'!E$26:F$126,MATCH(F193,'Step 4 Stage Discharge'!E$26:E$126,1)+1,2)-INDEX('Step 4 Stage Discharge'!E$26:F$126,MATCH(F193,'Step 4 Stage Discharge'!E$26:E$126,1),2))*(F193-INDEX('Step 4 Stage Discharge'!E$26:F$126,MATCH(F193,'Step 4 Stage Discharge'!E$26:E$126,1),1))/(INDEX('Step 4 Stage Discharge'!E$26:F$126,MATCH(F193,'Step 4 Stage Discharge'!E$26:E$126,1)+1,1)-INDEX('Step 4 Stage Discharge'!E$26:F$126,MATCH(F193,'Step 4 Stage Discharge'!E$26:E$126,1),1))</f>
        <v>0</v>
      </c>
      <c r="H193" s="149"/>
      <c r="I193" s="149">
        <f>INDEX('Step 4 Stage Discharge'!E$26:M$126,MATCH(F193,'Step 4 Stage Discharge'!E$26:E$126,1),9)+(INDEX('Step 4 Stage Discharge'!E$26:M$126,MATCH('Step 5 Routing'!F193,'Step 4 Stage Discharge'!E$26:E$126,1)+1,9)-INDEX('Step 4 Stage Discharge'!E$26:M$126,MATCH('Step 5 Routing'!F193,'Step 4 Stage Discharge'!E$26:E$126,1),9))*('Step 5 Routing'!F193-INDEX('Step 4 Stage Discharge'!E$26:M$126,MATCH('Step 5 Routing'!F193,'Step 4 Stage Discharge'!E$26:E$126,1),1))/(INDEX('Step 4 Stage Discharge'!E$26:M$126,MATCH('Step 5 Routing'!F193,'Step 4 Stage Discharge'!E$26:E$126,1)+1,1)-INDEX('Step 4 Stage Discharge'!E$26:M$126,MATCH('Step 5 Routing'!F193,'Step 4 Stage Discharge'!E$26:E$126,1),1))</f>
        <v>4.3639431710317386E-3</v>
      </c>
      <c r="J193" s="149"/>
      <c r="K193" s="6">
        <f t="shared" si="11"/>
        <v>0</v>
      </c>
      <c r="L193" s="6">
        <f t="shared" si="12"/>
        <v>0</v>
      </c>
    </row>
    <row r="194" spans="1:12">
      <c r="A194">
        <f t="shared" si="13"/>
        <v>181</v>
      </c>
      <c r="B194" s="136">
        <f>IF(C$5=Data!D$3,'Step 2 Inflow Hydrograph'!H238,IF(C$5=Data!D$4,'Step 2 Inflow Hydrograph'!I238,IF(C$5=Data!D$5,'Step 2 Inflow Hydrograph'!J238,'Step 2 Inflow Hydrograph'!K238)))</f>
        <v>0</v>
      </c>
      <c r="C194" s="127"/>
      <c r="D194" s="6">
        <f t="shared" si="10"/>
        <v>0</v>
      </c>
      <c r="E194" s="6"/>
      <c r="F194" s="6">
        <f t="shared" si="14"/>
        <v>0</v>
      </c>
      <c r="G194" s="149">
        <f>INDEX('Step 4 Stage Discharge'!E$26:F$126,MATCH(F194,'Step 4 Stage Discharge'!E$26:E$126,1),2)+(INDEX('Step 4 Stage Discharge'!E$26:F$126,MATCH(F194,'Step 4 Stage Discharge'!E$26:E$126,1)+1,2)-INDEX('Step 4 Stage Discharge'!E$26:F$126,MATCH(F194,'Step 4 Stage Discharge'!E$26:E$126,1),2))*(F194-INDEX('Step 4 Stage Discharge'!E$26:F$126,MATCH(F194,'Step 4 Stage Discharge'!E$26:E$126,1),1))/(INDEX('Step 4 Stage Discharge'!E$26:F$126,MATCH(F194,'Step 4 Stage Discharge'!E$26:E$126,1)+1,1)-INDEX('Step 4 Stage Discharge'!E$26:F$126,MATCH(F194,'Step 4 Stage Discharge'!E$26:E$126,1),1))</f>
        <v>0</v>
      </c>
      <c r="H194" s="149"/>
      <c r="I194" s="149">
        <f>INDEX('Step 4 Stage Discharge'!E$26:M$126,MATCH(F194,'Step 4 Stage Discharge'!E$26:E$126,1),9)+(INDEX('Step 4 Stage Discharge'!E$26:M$126,MATCH('Step 5 Routing'!F194,'Step 4 Stage Discharge'!E$26:E$126,1)+1,9)-INDEX('Step 4 Stage Discharge'!E$26:M$126,MATCH('Step 5 Routing'!F194,'Step 4 Stage Discharge'!E$26:E$126,1),9))*('Step 5 Routing'!F194-INDEX('Step 4 Stage Discharge'!E$26:M$126,MATCH('Step 5 Routing'!F194,'Step 4 Stage Discharge'!E$26:E$126,1),1))/(INDEX('Step 4 Stage Discharge'!E$26:M$126,MATCH('Step 5 Routing'!F194,'Step 4 Stage Discharge'!E$26:E$126,1)+1,1)-INDEX('Step 4 Stage Discharge'!E$26:M$126,MATCH('Step 5 Routing'!F194,'Step 4 Stage Discharge'!E$26:E$126,1),1))</f>
        <v>4.3639431710317386E-3</v>
      </c>
      <c r="J194" s="149"/>
      <c r="K194" s="6">
        <f t="shared" si="11"/>
        <v>0</v>
      </c>
      <c r="L194" s="6">
        <f t="shared" si="12"/>
        <v>0</v>
      </c>
    </row>
    <row r="195" spans="1:12">
      <c r="A195">
        <f t="shared" si="13"/>
        <v>182</v>
      </c>
      <c r="B195" s="136">
        <f>IF(C$5=Data!D$3,'Step 2 Inflow Hydrograph'!H239,IF(C$5=Data!D$4,'Step 2 Inflow Hydrograph'!I239,IF(C$5=Data!D$5,'Step 2 Inflow Hydrograph'!J239,'Step 2 Inflow Hydrograph'!K239)))</f>
        <v>0</v>
      </c>
      <c r="C195" s="127"/>
      <c r="D195" s="6">
        <f t="shared" si="10"/>
        <v>0</v>
      </c>
      <c r="E195" s="6"/>
      <c r="F195" s="6">
        <f t="shared" si="14"/>
        <v>0</v>
      </c>
      <c r="G195" s="149">
        <f>INDEX('Step 4 Stage Discharge'!E$26:F$126,MATCH(F195,'Step 4 Stage Discharge'!E$26:E$126,1),2)+(INDEX('Step 4 Stage Discharge'!E$26:F$126,MATCH(F195,'Step 4 Stage Discharge'!E$26:E$126,1)+1,2)-INDEX('Step 4 Stage Discharge'!E$26:F$126,MATCH(F195,'Step 4 Stage Discharge'!E$26:E$126,1),2))*(F195-INDEX('Step 4 Stage Discharge'!E$26:F$126,MATCH(F195,'Step 4 Stage Discharge'!E$26:E$126,1),1))/(INDEX('Step 4 Stage Discharge'!E$26:F$126,MATCH(F195,'Step 4 Stage Discharge'!E$26:E$126,1)+1,1)-INDEX('Step 4 Stage Discharge'!E$26:F$126,MATCH(F195,'Step 4 Stage Discharge'!E$26:E$126,1),1))</f>
        <v>0</v>
      </c>
      <c r="H195" s="149"/>
      <c r="I195" s="149">
        <f>INDEX('Step 4 Stage Discharge'!E$26:M$126,MATCH(F195,'Step 4 Stage Discharge'!E$26:E$126,1),9)+(INDEX('Step 4 Stage Discharge'!E$26:M$126,MATCH('Step 5 Routing'!F195,'Step 4 Stage Discharge'!E$26:E$126,1)+1,9)-INDEX('Step 4 Stage Discharge'!E$26:M$126,MATCH('Step 5 Routing'!F195,'Step 4 Stage Discharge'!E$26:E$126,1),9))*('Step 5 Routing'!F195-INDEX('Step 4 Stage Discharge'!E$26:M$126,MATCH('Step 5 Routing'!F195,'Step 4 Stage Discharge'!E$26:E$126,1),1))/(INDEX('Step 4 Stage Discharge'!E$26:M$126,MATCH('Step 5 Routing'!F195,'Step 4 Stage Discharge'!E$26:E$126,1)+1,1)-INDEX('Step 4 Stage Discharge'!E$26:M$126,MATCH('Step 5 Routing'!F195,'Step 4 Stage Discharge'!E$26:E$126,1),1))</f>
        <v>4.3639431710317386E-3</v>
      </c>
      <c r="J195" s="149"/>
      <c r="K195" s="6">
        <f t="shared" si="11"/>
        <v>0</v>
      </c>
      <c r="L195" s="6">
        <f t="shared" si="12"/>
        <v>0</v>
      </c>
    </row>
    <row r="196" spans="1:12">
      <c r="A196">
        <f t="shared" si="13"/>
        <v>183</v>
      </c>
      <c r="B196" s="136">
        <f>IF(C$5=Data!D$3,'Step 2 Inflow Hydrograph'!H240,IF(C$5=Data!D$4,'Step 2 Inflow Hydrograph'!I240,IF(C$5=Data!D$5,'Step 2 Inflow Hydrograph'!J240,'Step 2 Inflow Hydrograph'!K240)))</f>
        <v>0</v>
      </c>
      <c r="C196" s="127"/>
      <c r="D196" s="6">
        <f t="shared" si="10"/>
        <v>0</v>
      </c>
      <c r="E196" s="6"/>
      <c r="F196" s="6">
        <f t="shared" si="14"/>
        <v>0</v>
      </c>
      <c r="G196" s="149">
        <f>INDEX('Step 4 Stage Discharge'!E$26:F$126,MATCH(F196,'Step 4 Stage Discharge'!E$26:E$126,1),2)+(INDEX('Step 4 Stage Discharge'!E$26:F$126,MATCH(F196,'Step 4 Stage Discharge'!E$26:E$126,1)+1,2)-INDEX('Step 4 Stage Discharge'!E$26:F$126,MATCH(F196,'Step 4 Stage Discharge'!E$26:E$126,1),2))*(F196-INDEX('Step 4 Stage Discharge'!E$26:F$126,MATCH(F196,'Step 4 Stage Discharge'!E$26:E$126,1),1))/(INDEX('Step 4 Stage Discharge'!E$26:F$126,MATCH(F196,'Step 4 Stage Discharge'!E$26:E$126,1)+1,1)-INDEX('Step 4 Stage Discharge'!E$26:F$126,MATCH(F196,'Step 4 Stage Discharge'!E$26:E$126,1),1))</f>
        <v>0</v>
      </c>
      <c r="H196" s="149"/>
      <c r="I196" s="149">
        <f>INDEX('Step 4 Stage Discharge'!E$26:M$126,MATCH(F196,'Step 4 Stage Discharge'!E$26:E$126,1),9)+(INDEX('Step 4 Stage Discharge'!E$26:M$126,MATCH('Step 5 Routing'!F196,'Step 4 Stage Discharge'!E$26:E$126,1)+1,9)-INDEX('Step 4 Stage Discharge'!E$26:M$126,MATCH('Step 5 Routing'!F196,'Step 4 Stage Discharge'!E$26:E$126,1),9))*('Step 5 Routing'!F196-INDEX('Step 4 Stage Discharge'!E$26:M$126,MATCH('Step 5 Routing'!F196,'Step 4 Stage Discharge'!E$26:E$126,1),1))/(INDEX('Step 4 Stage Discharge'!E$26:M$126,MATCH('Step 5 Routing'!F196,'Step 4 Stage Discharge'!E$26:E$126,1)+1,1)-INDEX('Step 4 Stage Discharge'!E$26:M$126,MATCH('Step 5 Routing'!F196,'Step 4 Stage Discharge'!E$26:E$126,1),1))</f>
        <v>4.3639431710317386E-3</v>
      </c>
      <c r="J196" s="149"/>
      <c r="K196" s="6">
        <f t="shared" si="11"/>
        <v>0</v>
      </c>
      <c r="L196" s="6">
        <f t="shared" si="12"/>
        <v>0</v>
      </c>
    </row>
    <row r="197" spans="1:12">
      <c r="A197">
        <f t="shared" si="13"/>
        <v>184</v>
      </c>
      <c r="B197" s="136">
        <f>IF(C$5=Data!D$3,'Step 2 Inflow Hydrograph'!H241,IF(C$5=Data!D$4,'Step 2 Inflow Hydrograph'!I241,IF(C$5=Data!D$5,'Step 2 Inflow Hydrograph'!J241,'Step 2 Inflow Hydrograph'!K241)))</f>
        <v>0</v>
      </c>
      <c r="C197" s="127"/>
      <c r="D197" s="6">
        <f t="shared" si="10"/>
        <v>0</v>
      </c>
      <c r="E197" s="6"/>
      <c r="F197" s="6">
        <f t="shared" si="14"/>
        <v>0</v>
      </c>
      <c r="G197" s="149">
        <f>INDEX('Step 4 Stage Discharge'!E$26:F$126,MATCH(F197,'Step 4 Stage Discharge'!E$26:E$126,1),2)+(INDEX('Step 4 Stage Discharge'!E$26:F$126,MATCH(F197,'Step 4 Stage Discharge'!E$26:E$126,1)+1,2)-INDEX('Step 4 Stage Discharge'!E$26:F$126,MATCH(F197,'Step 4 Stage Discharge'!E$26:E$126,1),2))*(F197-INDEX('Step 4 Stage Discharge'!E$26:F$126,MATCH(F197,'Step 4 Stage Discharge'!E$26:E$126,1),1))/(INDEX('Step 4 Stage Discharge'!E$26:F$126,MATCH(F197,'Step 4 Stage Discharge'!E$26:E$126,1)+1,1)-INDEX('Step 4 Stage Discharge'!E$26:F$126,MATCH(F197,'Step 4 Stage Discharge'!E$26:E$126,1),1))</f>
        <v>0</v>
      </c>
      <c r="H197" s="149"/>
      <c r="I197" s="149">
        <f>INDEX('Step 4 Stage Discharge'!E$26:M$126,MATCH(F197,'Step 4 Stage Discharge'!E$26:E$126,1),9)+(INDEX('Step 4 Stage Discharge'!E$26:M$126,MATCH('Step 5 Routing'!F197,'Step 4 Stage Discharge'!E$26:E$126,1)+1,9)-INDEX('Step 4 Stage Discharge'!E$26:M$126,MATCH('Step 5 Routing'!F197,'Step 4 Stage Discharge'!E$26:E$126,1),9))*('Step 5 Routing'!F197-INDEX('Step 4 Stage Discharge'!E$26:M$126,MATCH('Step 5 Routing'!F197,'Step 4 Stage Discharge'!E$26:E$126,1),1))/(INDEX('Step 4 Stage Discharge'!E$26:M$126,MATCH('Step 5 Routing'!F197,'Step 4 Stage Discharge'!E$26:E$126,1)+1,1)-INDEX('Step 4 Stage Discharge'!E$26:M$126,MATCH('Step 5 Routing'!F197,'Step 4 Stage Discharge'!E$26:E$126,1),1))</f>
        <v>4.3639431710317386E-3</v>
      </c>
      <c r="J197" s="149"/>
      <c r="K197" s="6">
        <f t="shared" si="11"/>
        <v>0</v>
      </c>
      <c r="L197" s="6">
        <f t="shared" si="12"/>
        <v>0</v>
      </c>
    </row>
    <row r="198" spans="1:12">
      <c r="A198">
        <f t="shared" si="13"/>
        <v>185</v>
      </c>
      <c r="B198" s="136">
        <f>IF(C$5=Data!D$3,'Step 2 Inflow Hydrograph'!H242,IF(C$5=Data!D$4,'Step 2 Inflow Hydrograph'!I242,IF(C$5=Data!D$5,'Step 2 Inflow Hydrograph'!J242,'Step 2 Inflow Hydrograph'!K242)))</f>
        <v>0</v>
      </c>
      <c r="C198" s="127"/>
      <c r="D198" s="6">
        <f t="shared" si="10"/>
        <v>0</v>
      </c>
      <c r="E198" s="6"/>
      <c r="F198" s="6">
        <f t="shared" si="14"/>
        <v>0</v>
      </c>
      <c r="G198" s="149">
        <f>INDEX('Step 4 Stage Discharge'!E$26:F$126,MATCH(F198,'Step 4 Stage Discharge'!E$26:E$126,1),2)+(INDEX('Step 4 Stage Discharge'!E$26:F$126,MATCH(F198,'Step 4 Stage Discharge'!E$26:E$126,1)+1,2)-INDEX('Step 4 Stage Discharge'!E$26:F$126,MATCH(F198,'Step 4 Stage Discharge'!E$26:E$126,1),2))*(F198-INDEX('Step 4 Stage Discharge'!E$26:F$126,MATCH(F198,'Step 4 Stage Discharge'!E$26:E$126,1),1))/(INDEX('Step 4 Stage Discharge'!E$26:F$126,MATCH(F198,'Step 4 Stage Discharge'!E$26:E$126,1)+1,1)-INDEX('Step 4 Stage Discharge'!E$26:F$126,MATCH(F198,'Step 4 Stage Discharge'!E$26:E$126,1),1))</f>
        <v>0</v>
      </c>
      <c r="H198" s="149"/>
      <c r="I198" s="149">
        <f>INDEX('Step 4 Stage Discharge'!E$26:M$126,MATCH(F198,'Step 4 Stage Discharge'!E$26:E$126,1),9)+(INDEX('Step 4 Stage Discharge'!E$26:M$126,MATCH('Step 5 Routing'!F198,'Step 4 Stage Discharge'!E$26:E$126,1)+1,9)-INDEX('Step 4 Stage Discharge'!E$26:M$126,MATCH('Step 5 Routing'!F198,'Step 4 Stage Discharge'!E$26:E$126,1),9))*('Step 5 Routing'!F198-INDEX('Step 4 Stage Discharge'!E$26:M$126,MATCH('Step 5 Routing'!F198,'Step 4 Stage Discharge'!E$26:E$126,1),1))/(INDEX('Step 4 Stage Discharge'!E$26:M$126,MATCH('Step 5 Routing'!F198,'Step 4 Stage Discharge'!E$26:E$126,1)+1,1)-INDEX('Step 4 Stage Discharge'!E$26:M$126,MATCH('Step 5 Routing'!F198,'Step 4 Stage Discharge'!E$26:E$126,1),1))</f>
        <v>4.3639431710317386E-3</v>
      </c>
      <c r="J198" s="149"/>
      <c r="K198" s="6">
        <f t="shared" si="11"/>
        <v>0</v>
      </c>
      <c r="L198" s="6">
        <f t="shared" si="12"/>
        <v>0</v>
      </c>
    </row>
    <row r="199" spans="1:12">
      <c r="A199">
        <f t="shared" si="13"/>
        <v>186</v>
      </c>
      <c r="B199" s="136">
        <f>IF(C$5=Data!D$3,'Step 2 Inflow Hydrograph'!H243,IF(C$5=Data!D$4,'Step 2 Inflow Hydrograph'!I243,IF(C$5=Data!D$5,'Step 2 Inflow Hydrograph'!J243,'Step 2 Inflow Hydrograph'!K243)))</f>
        <v>0</v>
      </c>
      <c r="C199" s="127"/>
      <c r="D199" s="6">
        <f t="shared" si="10"/>
        <v>0</v>
      </c>
      <c r="E199" s="6"/>
      <c r="F199" s="6">
        <f t="shared" si="14"/>
        <v>0</v>
      </c>
      <c r="G199" s="149">
        <f>INDEX('Step 4 Stage Discharge'!E$26:F$126,MATCH(F199,'Step 4 Stage Discharge'!E$26:E$126,1),2)+(INDEX('Step 4 Stage Discharge'!E$26:F$126,MATCH(F199,'Step 4 Stage Discharge'!E$26:E$126,1)+1,2)-INDEX('Step 4 Stage Discharge'!E$26:F$126,MATCH(F199,'Step 4 Stage Discharge'!E$26:E$126,1),2))*(F199-INDEX('Step 4 Stage Discharge'!E$26:F$126,MATCH(F199,'Step 4 Stage Discharge'!E$26:E$126,1),1))/(INDEX('Step 4 Stage Discharge'!E$26:F$126,MATCH(F199,'Step 4 Stage Discharge'!E$26:E$126,1)+1,1)-INDEX('Step 4 Stage Discharge'!E$26:F$126,MATCH(F199,'Step 4 Stage Discharge'!E$26:E$126,1),1))</f>
        <v>0</v>
      </c>
      <c r="H199" s="149"/>
      <c r="I199" s="149">
        <f>INDEX('Step 4 Stage Discharge'!E$26:M$126,MATCH(F199,'Step 4 Stage Discharge'!E$26:E$126,1),9)+(INDEX('Step 4 Stage Discharge'!E$26:M$126,MATCH('Step 5 Routing'!F199,'Step 4 Stage Discharge'!E$26:E$126,1)+1,9)-INDEX('Step 4 Stage Discharge'!E$26:M$126,MATCH('Step 5 Routing'!F199,'Step 4 Stage Discharge'!E$26:E$126,1),9))*('Step 5 Routing'!F199-INDEX('Step 4 Stage Discharge'!E$26:M$126,MATCH('Step 5 Routing'!F199,'Step 4 Stage Discharge'!E$26:E$126,1),1))/(INDEX('Step 4 Stage Discharge'!E$26:M$126,MATCH('Step 5 Routing'!F199,'Step 4 Stage Discharge'!E$26:E$126,1)+1,1)-INDEX('Step 4 Stage Discharge'!E$26:M$126,MATCH('Step 5 Routing'!F199,'Step 4 Stage Discharge'!E$26:E$126,1),1))</f>
        <v>4.3639431710317386E-3</v>
      </c>
      <c r="J199" s="149"/>
      <c r="K199" s="6">
        <f t="shared" si="11"/>
        <v>0</v>
      </c>
      <c r="L199" s="6">
        <f t="shared" si="12"/>
        <v>0</v>
      </c>
    </row>
    <row r="200" spans="1:12">
      <c r="A200">
        <f t="shared" si="13"/>
        <v>187</v>
      </c>
      <c r="B200" s="136">
        <f>IF(C$5=Data!D$3,'Step 2 Inflow Hydrograph'!H244,IF(C$5=Data!D$4,'Step 2 Inflow Hydrograph'!I244,IF(C$5=Data!D$5,'Step 2 Inflow Hydrograph'!J244,'Step 2 Inflow Hydrograph'!K244)))</f>
        <v>0</v>
      </c>
      <c r="C200" s="127"/>
      <c r="D200" s="6">
        <f t="shared" si="10"/>
        <v>0</v>
      </c>
      <c r="E200" s="6"/>
      <c r="F200" s="6">
        <f t="shared" si="14"/>
        <v>0</v>
      </c>
      <c r="G200" s="149">
        <f>INDEX('Step 4 Stage Discharge'!E$26:F$126,MATCH(F200,'Step 4 Stage Discharge'!E$26:E$126,1),2)+(INDEX('Step 4 Stage Discharge'!E$26:F$126,MATCH(F200,'Step 4 Stage Discharge'!E$26:E$126,1)+1,2)-INDEX('Step 4 Stage Discharge'!E$26:F$126,MATCH(F200,'Step 4 Stage Discharge'!E$26:E$126,1),2))*(F200-INDEX('Step 4 Stage Discharge'!E$26:F$126,MATCH(F200,'Step 4 Stage Discharge'!E$26:E$126,1),1))/(INDEX('Step 4 Stage Discharge'!E$26:F$126,MATCH(F200,'Step 4 Stage Discharge'!E$26:E$126,1)+1,1)-INDEX('Step 4 Stage Discharge'!E$26:F$126,MATCH(F200,'Step 4 Stage Discharge'!E$26:E$126,1),1))</f>
        <v>0</v>
      </c>
      <c r="H200" s="149"/>
      <c r="I200" s="149">
        <f>INDEX('Step 4 Stage Discharge'!E$26:M$126,MATCH(F200,'Step 4 Stage Discharge'!E$26:E$126,1),9)+(INDEX('Step 4 Stage Discharge'!E$26:M$126,MATCH('Step 5 Routing'!F200,'Step 4 Stage Discharge'!E$26:E$126,1)+1,9)-INDEX('Step 4 Stage Discharge'!E$26:M$126,MATCH('Step 5 Routing'!F200,'Step 4 Stage Discharge'!E$26:E$126,1),9))*('Step 5 Routing'!F200-INDEX('Step 4 Stage Discharge'!E$26:M$126,MATCH('Step 5 Routing'!F200,'Step 4 Stage Discharge'!E$26:E$126,1),1))/(INDEX('Step 4 Stage Discharge'!E$26:M$126,MATCH('Step 5 Routing'!F200,'Step 4 Stage Discharge'!E$26:E$126,1)+1,1)-INDEX('Step 4 Stage Discharge'!E$26:M$126,MATCH('Step 5 Routing'!F200,'Step 4 Stage Discharge'!E$26:E$126,1),1))</f>
        <v>4.3639431710317386E-3</v>
      </c>
      <c r="J200" s="149"/>
      <c r="K200" s="6">
        <f t="shared" si="11"/>
        <v>0</v>
      </c>
      <c r="L200" s="6">
        <f t="shared" si="12"/>
        <v>0</v>
      </c>
    </row>
    <row r="201" spans="1:12">
      <c r="A201">
        <f t="shared" si="13"/>
        <v>188</v>
      </c>
      <c r="B201" s="136">
        <f>IF(C$5=Data!D$3,'Step 2 Inflow Hydrograph'!H245,IF(C$5=Data!D$4,'Step 2 Inflow Hydrograph'!I245,IF(C$5=Data!D$5,'Step 2 Inflow Hydrograph'!J245,'Step 2 Inflow Hydrograph'!K245)))</f>
        <v>0</v>
      </c>
      <c r="C201" s="127"/>
      <c r="D201" s="6">
        <f t="shared" si="10"/>
        <v>0</v>
      </c>
      <c r="E201" s="6"/>
      <c r="F201" s="6">
        <f t="shared" si="14"/>
        <v>0</v>
      </c>
      <c r="G201" s="149">
        <f>INDEX('Step 4 Stage Discharge'!E$26:F$126,MATCH(F201,'Step 4 Stage Discharge'!E$26:E$126,1),2)+(INDEX('Step 4 Stage Discharge'!E$26:F$126,MATCH(F201,'Step 4 Stage Discharge'!E$26:E$126,1)+1,2)-INDEX('Step 4 Stage Discharge'!E$26:F$126,MATCH(F201,'Step 4 Stage Discharge'!E$26:E$126,1),2))*(F201-INDEX('Step 4 Stage Discharge'!E$26:F$126,MATCH(F201,'Step 4 Stage Discharge'!E$26:E$126,1),1))/(INDEX('Step 4 Stage Discharge'!E$26:F$126,MATCH(F201,'Step 4 Stage Discharge'!E$26:E$126,1)+1,1)-INDEX('Step 4 Stage Discharge'!E$26:F$126,MATCH(F201,'Step 4 Stage Discharge'!E$26:E$126,1),1))</f>
        <v>0</v>
      </c>
      <c r="H201" s="149"/>
      <c r="I201" s="149">
        <f>INDEX('Step 4 Stage Discharge'!E$26:M$126,MATCH(F201,'Step 4 Stage Discharge'!E$26:E$126,1),9)+(INDEX('Step 4 Stage Discharge'!E$26:M$126,MATCH('Step 5 Routing'!F201,'Step 4 Stage Discharge'!E$26:E$126,1)+1,9)-INDEX('Step 4 Stage Discharge'!E$26:M$126,MATCH('Step 5 Routing'!F201,'Step 4 Stage Discharge'!E$26:E$126,1),9))*('Step 5 Routing'!F201-INDEX('Step 4 Stage Discharge'!E$26:M$126,MATCH('Step 5 Routing'!F201,'Step 4 Stage Discharge'!E$26:E$126,1),1))/(INDEX('Step 4 Stage Discharge'!E$26:M$126,MATCH('Step 5 Routing'!F201,'Step 4 Stage Discharge'!E$26:E$126,1)+1,1)-INDEX('Step 4 Stage Discharge'!E$26:M$126,MATCH('Step 5 Routing'!F201,'Step 4 Stage Discharge'!E$26:E$126,1),1))</f>
        <v>4.3639431710317386E-3</v>
      </c>
      <c r="J201" s="149"/>
      <c r="K201" s="6">
        <f t="shared" si="11"/>
        <v>0</v>
      </c>
      <c r="L201" s="6">
        <f t="shared" si="12"/>
        <v>0</v>
      </c>
    </row>
    <row r="202" spans="1:12">
      <c r="A202">
        <f t="shared" si="13"/>
        <v>189</v>
      </c>
      <c r="B202" s="136">
        <f>IF(C$5=Data!D$3,'Step 2 Inflow Hydrograph'!H246,IF(C$5=Data!D$4,'Step 2 Inflow Hydrograph'!I246,IF(C$5=Data!D$5,'Step 2 Inflow Hydrograph'!J246,'Step 2 Inflow Hydrograph'!K246)))</f>
        <v>0</v>
      </c>
      <c r="C202" s="127"/>
      <c r="D202" s="6">
        <f t="shared" si="10"/>
        <v>0</v>
      </c>
      <c r="E202" s="6"/>
      <c r="F202" s="6">
        <f t="shared" si="14"/>
        <v>0</v>
      </c>
      <c r="G202" s="149">
        <f>INDEX('Step 4 Stage Discharge'!E$26:F$126,MATCH(F202,'Step 4 Stage Discharge'!E$26:E$126,1),2)+(INDEX('Step 4 Stage Discharge'!E$26:F$126,MATCH(F202,'Step 4 Stage Discharge'!E$26:E$126,1)+1,2)-INDEX('Step 4 Stage Discharge'!E$26:F$126,MATCH(F202,'Step 4 Stage Discharge'!E$26:E$126,1),2))*(F202-INDEX('Step 4 Stage Discharge'!E$26:F$126,MATCH(F202,'Step 4 Stage Discharge'!E$26:E$126,1),1))/(INDEX('Step 4 Stage Discharge'!E$26:F$126,MATCH(F202,'Step 4 Stage Discharge'!E$26:E$126,1)+1,1)-INDEX('Step 4 Stage Discharge'!E$26:F$126,MATCH(F202,'Step 4 Stage Discharge'!E$26:E$126,1),1))</f>
        <v>0</v>
      </c>
      <c r="H202" s="149"/>
      <c r="I202" s="149">
        <f>INDEX('Step 4 Stage Discharge'!E$26:M$126,MATCH(F202,'Step 4 Stage Discharge'!E$26:E$126,1),9)+(INDEX('Step 4 Stage Discharge'!E$26:M$126,MATCH('Step 5 Routing'!F202,'Step 4 Stage Discharge'!E$26:E$126,1)+1,9)-INDEX('Step 4 Stage Discharge'!E$26:M$126,MATCH('Step 5 Routing'!F202,'Step 4 Stage Discharge'!E$26:E$126,1),9))*('Step 5 Routing'!F202-INDEX('Step 4 Stage Discharge'!E$26:M$126,MATCH('Step 5 Routing'!F202,'Step 4 Stage Discharge'!E$26:E$126,1),1))/(INDEX('Step 4 Stage Discharge'!E$26:M$126,MATCH('Step 5 Routing'!F202,'Step 4 Stage Discharge'!E$26:E$126,1)+1,1)-INDEX('Step 4 Stage Discharge'!E$26:M$126,MATCH('Step 5 Routing'!F202,'Step 4 Stage Discharge'!E$26:E$126,1),1))</f>
        <v>4.3639431710317386E-3</v>
      </c>
      <c r="J202" s="149"/>
      <c r="K202" s="6">
        <f t="shared" si="11"/>
        <v>0</v>
      </c>
      <c r="L202" s="6">
        <f t="shared" si="12"/>
        <v>0</v>
      </c>
    </row>
    <row r="203" spans="1:12">
      <c r="A203">
        <f t="shared" si="13"/>
        <v>190</v>
      </c>
      <c r="B203" s="136">
        <f>IF(C$5=Data!D$3,'Step 2 Inflow Hydrograph'!H247,IF(C$5=Data!D$4,'Step 2 Inflow Hydrograph'!I247,IF(C$5=Data!D$5,'Step 2 Inflow Hydrograph'!J247,'Step 2 Inflow Hydrograph'!K247)))</f>
        <v>0</v>
      </c>
      <c r="C203" s="127"/>
      <c r="D203" s="6">
        <f t="shared" si="10"/>
        <v>0</v>
      </c>
      <c r="E203" s="6"/>
      <c r="F203" s="6">
        <f t="shared" si="14"/>
        <v>0</v>
      </c>
      <c r="G203" s="149">
        <f>INDEX('Step 4 Stage Discharge'!E$26:F$126,MATCH(F203,'Step 4 Stage Discharge'!E$26:E$126,1),2)+(INDEX('Step 4 Stage Discharge'!E$26:F$126,MATCH(F203,'Step 4 Stage Discharge'!E$26:E$126,1)+1,2)-INDEX('Step 4 Stage Discharge'!E$26:F$126,MATCH(F203,'Step 4 Stage Discharge'!E$26:E$126,1),2))*(F203-INDEX('Step 4 Stage Discharge'!E$26:F$126,MATCH(F203,'Step 4 Stage Discharge'!E$26:E$126,1),1))/(INDEX('Step 4 Stage Discharge'!E$26:F$126,MATCH(F203,'Step 4 Stage Discharge'!E$26:E$126,1)+1,1)-INDEX('Step 4 Stage Discharge'!E$26:F$126,MATCH(F203,'Step 4 Stage Discharge'!E$26:E$126,1),1))</f>
        <v>0</v>
      </c>
      <c r="H203" s="149"/>
      <c r="I203" s="149">
        <f>INDEX('Step 4 Stage Discharge'!E$26:M$126,MATCH(F203,'Step 4 Stage Discharge'!E$26:E$126,1),9)+(INDEX('Step 4 Stage Discharge'!E$26:M$126,MATCH('Step 5 Routing'!F203,'Step 4 Stage Discharge'!E$26:E$126,1)+1,9)-INDEX('Step 4 Stage Discharge'!E$26:M$126,MATCH('Step 5 Routing'!F203,'Step 4 Stage Discharge'!E$26:E$126,1),9))*('Step 5 Routing'!F203-INDEX('Step 4 Stage Discharge'!E$26:M$126,MATCH('Step 5 Routing'!F203,'Step 4 Stage Discharge'!E$26:E$126,1),1))/(INDEX('Step 4 Stage Discharge'!E$26:M$126,MATCH('Step 5 Routing'!F203,'Step 4 Stage Discharge'!E$26:E$126,1)+1,1)-INDEX('Step 4 Stage Discharge'!E$26:M$126,MATCH('Step 5 Routing'!F203,'Step 4 Stage Discharge'!E$26:E$126,1),1))</f>
        <v>4.3639431710317386E-3</v>
      </c>
      <c r="J203" s="149"/>
      <c r="K203" s="6">
        <f t="shared" si="11"/>
        <v>0</v>
      </c>
      <c r="L203" s="6">
        <f t="shared" si="12"/>
        <v>0</v>
      </c>
    </row>
    <row r="204" spans="1:12">
      <c r="A204">
        <f t="shared" si="13"/>
        <v>191</v>
      </c>
      <c r="B204" s="136">
        <f>IF(C$5=Data!D$3,'Step 2 Inflow Hydrograph'!H248,IF(C$5=Data!D$4,'Step 2 Inflow Hydrograph'!I248,IF(C$5=Data!D$5,'Step 2 Inflow Hydrograph'!J248,'Step 2 Inflow Hydrograph'!K248)))</f>
        <v>0</v>
      </c>
      <c r="C204" s="127"/>
      <c r="D204" s="6">
        <f t="shared" si="10"/>
        <v>0</v>
      </c>
      <c r="E204" s="6"/>
      <c r="F204" s="6">
        <f t="shared" si="14"/>
        <v>0</v>
      </c>
      <c r="G204" s="149">
        <f>INDEX('Step 4 Stage Discharge'!E$26:F$126,MATCH(F204,'Step 4 Stage Discharge'!E$26:E$126,1),2)+(INDEX('Step 4 Stage Discharge'!E$26:F$126,MATCH(F204,'Step 4 Stage Discharge'!E$26:E$126,1)+1,2)-INDEX('Step 4 Stage Discharge'!E$26:F$126,MATCH(F204,'Step 4 Stage Discharge'!E$26:E$126,1),2))*(F204-INDEX('Step 4 Stage Discharge'!E$26:F$126,MATCH(F204,'Step 4 Stage Discharge'!E$26:E$126,1),1))/(INDEX('Step 4 Stage Discharge'!E$26:F$126,MATCH(F204,'Step 4 Stage Discharge'!E$26:E$126,1)+1,1)-INDEX('Step 4 Stage Discharge'!E$26:F$126,MATCH(F204,'Step 4 Stage Discharge'!E$26:E$126,1),1))</f>
        <v>0</v>
      </c>
      <c r="H204" s="149"/>
      <c r="I204" s="149">
        <f>INDEX('Step 4 Stage Discharge'!E$26:M$126,MATCH(F204,'Step 4 Stage Discharge'!E$26:E$126,1),9)+(INDEX('Step 4 Stage Discharge'!E$26:M$126,MATCH('Step 5 Routing'!F204,'Step 4 Stage Discharge'!E$26:E$126,1)+1,9)-INDEX('Step 4 Stage Discharge'!E$26:M$126,MATCH('Step 5 Routing'!F204,'Step 4 Stage Discharge'!E$26:E$126,1),9))*('Step 5 Routing'!F204-INDEX('Step 4 Stage Discharge'!E$26:M$126,MATCH('Step 5 Routing'!F204,'Step 4 Stage Discharge'!E$26:E$126,1),1))/(INDEX('Step 4 Stage Discharge'!E$26:M$126,MATCH('Step 5 Routing'!F204,'Step 4 Stage Discharge'!E$26:E$126,1)+1,1)-INDEX('Step 4 Stage Discharge'!E$26:M$126,MATCH('Step 5 Routing'!F204,'Step 4 Stage Discharge'!E$26:E$126,1),1))</f>
        <v>4.3639431710317386E-3</v>
      </c>
      <c r="J204" s="149"/>
      <c r="K204" s="6">
        <f t="shared" si="11"/>
        <v>0</v>
      </c>
      <c r="L204" s="6">
        <f t="shared" si="12"/>
        <v>0</v>
      </c>
    </row>
    <row r="205" spans="1:12">
      <c r="A205">
        <f t="shared" si="13"/>
        <v>192</v>
      </c>
      <c r="B205" s="136">
        <f>IF(C$5=Data!D$3,'Step 2 Inflow Hydrograph'!H249,IF(C$5=Data!D$4,'Step 2 Inflow Hydrograph'!I249,IF(C$5=Data!D$5,'Step 2 Inflow Hydrograph'!J249,'Step 2 Inflow Hydrograph'!K249)))</f>
        <v>0</v>
      </c>
      <c r="C205" s="127"/>
      <c r="D205" s="6">
        <f t="shared" ref="D205:D268" si="15">IF(B205="",0,B205*D$8*60)</f>
        <v>0</v>
      </c>
      <c r="E205" s="6"/>
      <c r="F205" s="6">
        <f t="shared" si="14"/>
        <v>0</v>
      </c>
      <c r="G205" s="149">
        <f>INDEX('Step 4 Stage Discharge'!E$26:F$126,MATCH(F205,'Step 4 Stage Discharge'!E$26:E$126,1),2)+(INDEX('Step 4 Stage Discharge'!E$26:F$126,MATCH(F205,'Step 4 Stage Discharge'!E$26:E$126,1)+1,2)-INDEX('Step 4 Stage Discharge'!E$26:F$126,MATCH(F205,'Step 4 Stage Discharge'!E$26:E$126,1),2))*(F205-INDEX('Step 4 Stage Discharge'!E$26:F$126,MATCH(F205,'Step 4 Stage Discharge'!E$26:E$126,1),1))/(INDEX('Step 4 Stage Discharge'!E$26:F$126,MATCH(F205,'Step 4 Stage Discharge'!E$26:E$126,1)+1,1)-INDEX('Step 4 Stage Discharge'!E$26:F$126,MATCH(F205,'Step 4 Stage Discharge'!E$26:E$126,1),1))</f>
        <v>0</v>
      </c>
      <c r="H205" s="149"/>
      <c r="I205" s="149">
        <f>INDEX('Step 4 Stage Discharge'!E$26:M$126,MATCH(F205,'Step 4 Stage Discharge'!E$26:E$126,1),9)+(INDEX('Step 4 Stage Discharge'!E$26:M$126,MATCH('Step 5 Routing'!F205,'Step 4 Stage Discharge'!E$26:E$126,1)+1,9)-INDEX('Step 4 Stage Discharge'!E$26:M$126,MATCH('Step 5 Routing'!F205,'Step 4 Stage Discharge'!E$26:E$126,1),9))*('Step 5 Routing'!F205-INDEX('Step 4 Stage Discharge'!E$26:M$126,MATCH('Step 5 Routing'!F205,'Step 4 Stage Discharge'!E$26:E$126,1),1))/(INDEX('Step 4 Stage Discharge'!E$26:M$126,MATCH('Step 5 Routing'!F205,'Step 4 Stage Discharge'!E$26:E$126,1)+1,1)-INDEX('Step 4 Stage Discharge'!E$26:M$126,MATCH('Step 5 Routing'!F205,'Step 4 Stage Discharge'!E$26:E$126,1),1))</f>
        <v>4.3639431710317386E-3</v>
      </c>
      <c r="J205" s="149"/>
      <c r="K205" s="6">
        <f t="shared" ref="K205:K268" si="16">IF(I205*60*D$8&gt;F205,F205,I205*60*D$8)</f>
        <v>0</v>
      </c>
      <c r="L205" s="6">
        <f t="shared" ref="L205:L268" si="17">IF(F205-K205&lt;0,0,F205-K205)</f>
        <v>0</v>
      </c>
    </row>
    <row r="206" spans="1:12">
      <c r="A206">
        <f t="shared" ref="A206:A269" si="18">+A205+D$8</f>
        <v>193</v>
      </c>
      <c r="B206" s="136">
        <f>IF(C$5=Data!D$3,'Step 2 Inflow Hydrograph'!H250,IF(C$5=Data!D$4,'Step 2 Inflow Hydrograph'!I250,IF(C$5=Data!D$5,'Step 2 Inflow Hydrograph'!J250,'Step 2 Inflow Hydrograph'!K250)))</f>
        <v>0</v>
      </c>
      <c r="C206" s="127"/>
      <c r="D206" s="6">
        <f t="shared" si="15"/>
        <v>0</v>
      </c>
      <c r="E206" s="6"/>
      <c r="F206" s="6">
        <f t="shared" ref="F206:F269" si="19">+L205+D206</f>
        <v>0</v>
      </c>
      <c r="G206" s="149">
        <f>INDEX('Step 4 Stage Discharge'!E$26:F$126,MATCH(F206,'Step 4 Stage Discharge'!E$26:E$126,1),2)+(INDEX('Step 4 Stage Discharge'!E$26:F$126,MATCH(F206,'Step 4 Stage Discharge'!E$26:E$126,1)+1,2)-INDEX('Step 4 Stage Discharge'!E$26:F$126,MATCH(F206,'Step 4 Stage Discharge'!E$26:E$126,1),2))*(F206-INDEX('Step 4 Stage Discharge'!E$26:F$126,MATCH(F206,'Step 4 Stage Discharge'!E$26:E$126,1),1))/(INDEX('Step 4 Stage Discharge'!E$26:F$126,MATCH(F206,'Step 4 Stage Discharge'!E$26:E$126,1)+1,1)-INDEX('Step 4 Stage Discharge'!E$26:F$126,MATCH(F206,'Step 4 Stage Discharge'!E$26:E$126,1),1))</f>
        <v>0</v>
      </c>
      <c r="H206" s="149"/>
      <c r="I206" s="149">
        <f>INDEX('Step 4 Stage Discharge'!E$26:M$126,MATCH(F206,'Step 4 Stage Discharge'!E$26:E$126,1),9)+(INDEX('Step 4 Stage Discharge'!E$26:M$126,MATCH('Step 5 Routing'!F206,'Step 4 Stage Discharge'!E$26:E$126,1)+1,9)-INDEX('Step 4 Stage Discharge'!E$26:M$126,MATCH('Step 5 Routing'!F206,'Step 4 Stage Discharge'!E$26:E$126,1),9))*('Step 5 Routing'!F206-INDEX('Step 4 Stage Discharge'!E$26:M$126,MATCH('Step 5 Routing'!F206,'Step 4 Stage Discharge'!E$26:E$126,1),1))/(INDEX('Step 4 Stage Discharge'!E$26:M$126,MATCH('Step 5 Routing'!F206,'Step 4 Stage Discharge'!E$26:E$126,1)+1,1)-INDEX('Step 4 Stage Discharge'!E$26:M$126,MATCH('Step 5 Routing'!F206,'Step 4 Stage Discharge'!E$26:E$126,1),1))</f>
        <v>4.3639431710317386E-3</v>
      </c>
      <c r="J206" s="149"/>
      <c r="K206" s="6">
        <f t="shared" si="16"/>
        <v>0</v>
      </c>
      <c r="L206" s="6">
        <f t="shared" si="17"/>
        <v>0</v>
      </c>
    </row>
    <row r="207" spans="1:12">
      <c r="A207">
        <f t="shared" si="18"/>
        <v>194</v>
      </c>
      <c r="B207" s="136">
        <f>IF(C$5=Data!D$3,'Step 2 Inflow Hydrograph'!H251,IF(C$5=Data!D$4,'Step 2 Inflow Hydrograph'!I251,IF(C$5=Data!D$5,'Step 2 Inflow Hydrograph'!J251,'Step 2 Inflow Hydrograph'!K251)))</f>
        <v>0</v>
      </c>
      <c r="C207" s="127"/>
      <c r="D207" s="6">
        <f t="shared" si="15"/>
        <v>0</v>
      </c>
      <c r="E207" s="6"/>
      <c r="F207" s="6">
        <f t="shared" si="19"/>
        <v>0</v>
      </c>
      <c r="G207" s="149">
        <f>INDEX('Step 4 Stage Discharge'!E$26:F$126,MATCH(F207,'Step 4 Stage Discharge'!E$26:E$126,1),2)+(INDEX('Step 4 Stage Discharge'!E$26:F$126,MATCH(F207,'Step 4 Stage Discharge'!E$26:E$126,1)+1,2)-INDEX('Step 4 Stage Discharge'!E$26:F$126,MATCH(F207,'Step 4 Stage Discharge'!E$26:E$126,1),2))*(F207-INDEX('Step 4 Stage Discharge'!E$26:F$126,MATCH(F207,'Step 4 Stage Discharge'!E$26:E$126,1),1))/(INDEX('Step 4 Stage Discharge'!E$26:F$126,MATCH(F207,'Step 4 Stage Discharge'!E$26:E$126,1)+1,1)-INDEX('Step 4 Stage Discharge'!E$26:F$126,MATCH(F207,'Step 4 Stage Discharge'!E$26:E$126,1),1))</f>
        <v>0</v>
      </c>
      <c r="H207" s="149"/>
      <c r="I207" s="149">
        <f>INDEX('Step 4 Stage Discharge'!E$26:M$126,MATCH(F207,'Step 4 Stage Discharge'!E$26:E$126,1),9)+(INDEX('Step 4 Stage Discharge'!E$26:M$126,MATCH('Step 5 Routing'!F207,'Step 4 Stage Discharge'!E$26:E$126,1)+1,9)-INDEX('Step 4 Stage Discharge'!E$26:M$126,MATCH('Step 5 Routing'!F207,'Step 4 Stage Discharge'!E$26:E$126,1),9))*('Step 5 Routing'!F207-INDEX('Step 4 Stage Discharge'!E$26:M$126,MATCH('Step 5 Routing'!F207,'Step 4 Stage Discharge'!E$26:E$126,1),1))/(INDEX('Step 4 Stage Discharge'!E$26:M$126,MATCH('Step 5 Routing'!F207,'Step 4 Stage Discharge'!E$26:E$126,1)+1,1)-INDEX('Step 4 Stage Discharge'!E$26:M$126,MATCH('Step 5 Routing'!F207,'Step 4 Stage Discharge'!E$26:E$126,1),1))</f>
        <v>4.3639431710317386E-3</v>
      </c>
      <c r="J207" s="149"/>
      <c r="K207" s="6">
        <f t="shared" si="16"/>
        <v>0</v>
      </c>
      <c r="L207" s="6">
        <f t="shared" si="17"/>
        <v>0</v>
      </c>
    </row>
    <row r="208" spans="1:12">
      <c r="A208">
        <f t="shared" si="18"/>
        <v>195</v>
      </c>
      <c r="B208" s="136">
        <f>IF(C$5=Data!D$3,'Step 2 Inflow Hydrograph'!H252,IF(C$5=Data!D$4,'Step 2 Inflow Hydrograph'!I252,IF(C$5=Data!D$5,'Step 2 Inflow Hydrograph'!J252,'Step 2 Inflow Hydrograph'!K252)))</f>
        <v>0</v>
      </c>
      <c r="C208" s="127"/>
      <c r="D208" s="6">
        <f t="shared" si="15"/>
        <v>0</v>
      </c>
      <c r="E208" s="6"/>
      <c r="F208" s="6">
        <f t="shared" si="19"/>
        <v>0</v>
      </c>
      <c r="G208" s="149">
        <f>INDEX('Step 4 Stage Discharge'!E$26:F$126,MATCH(F208,'Step 4 Stage Discharge'!E$26:E$126,1),2)+(INDEX('Step 4 Stage Discharge'!E$26:F$126,MATCH(F208,'Step 4 Stage Discharge'!E$26:E$126,1)+1,2)-INDEX('Step 4 Stage Discharge'!E$26:F$126,MATCH(F208,'Step 4 Stage Discharge'!E$26:E$126,1),2))*(F208-INDEX('Step 4 Stage Discharge'!E$26:F$126,MATCH(F208,'Step 4 Stage Discharge'!E$26:E$126,1),1))/(INDEX('Step 4 Stage Discharge'!E$26:F$126,MATCH(F208,'Step 4 Stage Discharge'!E$26:E$126,1)+1,1)-INDEX('Step 4 Stage Discharge'!E$26:F$126,MATCH(F208,'Step 4 Stage Discharge'!E$26:E$126,1),1))</f>
        <v>0</v>
      </c>
      <c r="H208" s="149"/>
      <c r="I208" s="149">
        <f>INDEX('Step 4 Stage Discharge'!E$26:M$126,MATCH(F208,'Step 4 Stage Discharge'!E$26:E$126,1),9)+(INDEX('Step 4 Stage Discharge'!E$26:M$126,MATCH('Step 5 Routing'!F208,'Step 4 Stage Discharge'!E$26:E$126,1)+1,9)-INDEX('Step 4 Stage Discharge'!E$26:M$126,MATCH('Step 5 Routing'!F208,'Step 4 Stage Discharge'!E$26:E$126,1),9))*('Step 5 Routing'!F208-INDEX('Step 4 Stage Discharge'!E$26:M$126,MATCH('Step 5 Routing'!F208,'Step 4 Stage Discharge'!E$26:E$126,1),1))/(INDEX('Step 4 Stage Discharge'!E$26:M$126,MATCH('Step 5 Routing'!F208,'Step 4 Stage Discharge'!E$26:E$126,1)+1,1)-INDEX('Step 4 Stage Discharge'!E$26:M$126,MATCH('Step 5 Routing'!F208,'Step 4 Stage Discharge'!E$26:E$126,1),1))</f>
        <v>4.3639431710317386E-3</v>
      </c>
      <c r="J208" s="149"/>
      <c r="K208" s="6">
        <f t="shared" si="16"/>
        <v>0</v>
      </c>
      <c r="L208" s="6">
        <f t="shared" si="17"/>
        <v>0</v>
      </c>
    </row>
    <row r="209" spans="1:12">
      <c r="A209">
        <f t="shared" si="18"/>
        <v>196</v>
      </c>
      <c r="B209" s="136">
        <f>IF(C$5=Data!D$3,'Step 2 Inflow Hydrograph'!H253,IF(C$5=Data!D$4,'Step 2 Inflow Hydrograph'!I253,IF(C$5=Data!D$5,'Step 2 Inflow Hydrograph'!J253,'Step 2 Inflow Hydrograph'!K253)))</f>
        <v>0</v>
      </c>
      <c r="C209" s="127"/>
      <c r="D209" s="6">
        <f t="shared" si="15"/>
        <v>0</v>
      </c>
      <c r="E209" s="6"/>
      <c r="F209" s="6">
        <f t="shared" si="19"/>
        <v>0</v>
      </c>
      <c r="G209" s="149">
        <f>INDEX('Step 4 Stage Discharge'!E$26:F$126,MATCH(F209,'Step 4 Stage Discharge'!E$26:E$126,1),2)+(INDEX('Step 4 Stage Discharge'!E$26:F$126,MATCH(F209,'Step 4 Stage Discharge'!E$26:E$126,1)+1,2)-INDEX('Step 4 Stage Discharge'!E$26:F$126,MATCH(F209,'Step 4 Stage Discharge'!E$26:E$126,1),2))*(F209-INDEX('Step 4 Stage Discharge'!E$26:F$126,MATCH(F209,'Step 4 Stage Discharge'!E$26:E$126,1),1))/(INDEX('Step 4 Stage Discharge'!E$26:F$126,MATCH(F209,'Step 4 Stage Discharge'!E$26:E$126,1)+1,1)-INDEX('Step 4 Stage Discharge'!E$26:F$126,MATCH(F209,'Step 4 Stage Discharge'!E$26:E$126,1),1))</f>
        <v>0</v>
      </c>
      <c r="H209" s="149"/>
      <c r="I209" s="149">
        <f>INDEX('Step 4 Stage Discharge'!E$26:M$126,MATCH(F209,'Step 4 Stage Discharge'!E$26:E$126,1),9)+(INDEX('Step 4 Stage Discharge'!E$26:M$126,MATCH('Step 5 Routing'!F209,'Step 4 Stage Discharge'!E$26:E$126,1)+1,9)-INDEX('Step 4 Stage Discharge'!E$26:M$126,MATCH('Step 5 Routing'!F209,'Step 4 Stage Discharge'!E$26:E$126,1),9))*('Step 5 Routing'!F209-INDEX('Step 4 Stage Discharge'!E$26:M$126,MATCH('Step 5 Routing'!F209,'Step 4 Stage Discharge'!E$26:E$126,1),1))/(INDEX('Step 4 Stage Discharge'!E$26:M$126,MATCH('Step 5 Routing'!F209,'Step 4 Stage Discharge'!E$26:E$126,1)+1,1)-INDEX('Step 4 Stage Discharge'!E$26:M$126,MATCH('Step 5 Routing'!F209,'Step 4 Stage Discharge'!E$26:E$126,1),1))</f>
        <v>4.3639431710317386E-3</v>
      </c>
      <c r="J209" s="149"/>
      <c r="K209" s="6">
        <f t="shared" si="16"/>
        <v>0</v>
      </c>
      <c r="L209" s="6">
        <f t="shared" si="17"/>
        <v>0</v>
      </c>
    </row>
    <row r="210" spans="1:12">
      <c r="A210">
        <f t="shared" si="18"/>
        <v>197</v>
      </c>
      <c r="B210" s="136">
        <f>IF(C$5=Data!D$3,'Step 2 Inflow Hydrograph'!H254,IF(C$5=Data!D$4,'Step 2 Inflow Hydrograph'!I254,IF(C$5=Data!D$5,'Step 2 Inflow Hydrograph'!J254,'Step 2 Inflow Hydrograph'!K254)))</f>
        <v>0</v>
      </c>
      <c r="C210" s="127"/>
      <c r="D210" s="6">
        <f t="shared" si="15"/>
        <v>0</v>
      </c>
      <c r="E210" s="6"/>
      <c r="F210" s="6">
        <f t="shared" si="19"/>
        <v>0</v>
      </c>
      <c r="G210" s="149">
        <f>INDEX('Step 4 Stage Discharge'!E$26:F$126,MATCH(F210,'Step 4 Stage Discharge'!E$26:E$126,1),2)+(INDEX('Step 4 Stage Discharge'!E$26:F$126,MATCH(F210,'Step 4 Stage Discharge'!E$26:E$126,1)+1,2)-INDEX('Step 4 Stage Discharge'!E$26:F$126,MATCH(F210,'Step 4 Stage Discharge'!E$26:E$126,1),2))*(F210-INDEX('Step 4 Stage Discharge'!E$26:F$126,MATCH(F210,'Step 4 Stage Discharge'!E$26:E$126,1),1))/(INDEX('Step 4 Stage Discharge'!E$26:F$126,MATCH(F210,'Step 4 Stage Discharge'!E$26:E$126,1)+1,1)-INDEX('Step 4 Stage Discharge'!E$26:F$126,MATCH(F210,'Step 4 Stage Discharge'!E$26:E$126,1),1))</f>
        <v>0</v>
      </c>
      <c r="H210" s="149"/>
      <c r="I210" s="149">
        <f>INDEX('Step 4 Stage Discharge'!E$26:M$126,MATCH(F210,'Step 4 Stage Discharge'!E$26:E$126,1),9)+(INDEX('Step 4 Stage Discharge'!E$26:M$126,MATCH('Step 5 Routing'!F210,'Step 4 Stage Discharge'!E$26:E$126,1)+1,9)-INDEX('Step 4 Stage Discharge'!E$26:M$126,MATCH('Step 5 Routing'!F210,'Step 4 Stage Discharge'!E$26:E$126,1),9))*('Step 5 Routing'!F210-INDEX('Step 4 Stage Discharge'!E$26:M$126,MATCH('Step 5 Routing'!F210,'Step 4 Stage Discharge'!E$26:E$126,1),1))/(INDEX('Step 4 Stage Discharge'!E$26:M$126,MATCH('Step 5 Routing'!F210,'Step 4 Stage Discharge'!E$26:E$126,1)+1,1)-INDEX('Step 4 Stage Discharge'!E$26:M$126,MATCH('Step 5 Routing'!F210,'Step 4 Stage Discharge'!E$26:E$126,1),1))</f>
        <v>4.3639431710317386E-3</v>
      </c>
      <c r="J210" s="149"/>
      <c r="K210" s="6">
        <f t="shared" si="16"/>
        <v>0</v>
      </c>
      <c r="L210" s="6">
        <f t="shared" si="17"/>
        <v>0</v>
      </c>
    </row>
    <row r="211" spans="1:12">
      <c r="A211">
        <f t="shared" si="18"/>
        <v>198</v>
      </c>
      <c r="B211" s="136">
        <f>IF(C$5=Data!D$3,'Step 2 Inflow Hydrograph'!H255,IF(C$5=Data!D$4,'Step 2 Inflow Hydrograph'!I255,IF(C$5=Data!D$5,'Step 2 Inflow Hydrograph'!J255,'Step 2 Inflow Hydrograph'!K255)))</f>
        <v>0</v>
      </c>
      <c r="C211" s="127"/>
      <c r="D211" s="6">
        <f t="shared" si="15"/>
        <v>0</v>
      </c>
      <c r="E211" s="6"/>
      <c r="F211" s="6">
        <f t="shared" si="19"/>
        <v>0</v>
      </c>
      <c r="G211" s="149">
        <f>INDEX('Step 4 Stage Discharge'!E$26:F$126,MATCH(F211,'Step 4 Stage Discharge'!E$26:E$126,1),2)+(INDEX('Step 4 Stage Discharge'!E$26:F$126,MATCH(F211,'Step 4 Stage Discharge'!E$26:E$126,1)+1,2)-INDEX('Step 4 Stage Discharge'!E$26:F$126,MATCH(F211,'Step 4 Stage Discharge'!E$26:E$126,1),2))*(F211-INDEX('Step 4 Stage Discharge'!E$26:F$126,MATCH(F211,'Step 4 Stage Discharge'!E$26:E$126,1),1))/(INDEX('Step 4 Stage Discharge'!E$26:F$126,MATCH(F211,'Step 4 Stage Discharge'!E$26:E$126,1)+1,1)-INDEX('Step 4 Stage Discharge'!E$26:F$126,MATCH(F211,'Step 4 Stage Discharge'!E$26:E$126,1),1))</f>
        <v>0</v>
      </c>
      <c r="H211" s="149"/>
      <c r="I211" s="149">
        <f>INDEX('Step 4 Stage Discharge'!E$26:M$126,MATCH(F211,'Step 4 Stage Discharge'!E$26:E$126,1),9)+(INDEX('Step 4 Stage Discharge'!E$26:M$126,MATCH('Step 5 Routing'!F211,'Step 4 Stage Discharge'!E$26:E$126,1)+1,9)-INDEX('Step 4 Stage Discharge'!E$26:M$126,MATCH('Step 5 Routing'!F211,'Step 4 Stage Discharge'!E$26:E$126,1),9))*('Step 5 Routing'!F211-INDEX('Step 4 Stage Discharge'!E$26:M$126,MATCH('Step 5 Routing'!F211,'Step 4 Stage Discharge'!E$26:E$126,1),1))/(INDEX('Step 4 Stage Discharge'!E$26:M$126,MATCH('Step 5 Routing'!F211,'Step 4 Stage Discharge'!E$26:E$126,1)+1,1)-INDEX('Step 4 Stage Discharge'!E$26:M$126,MATCH('Step 5 Routing'!F211,'Step 4 Stage Discharge'!E$26:E$126,1),1))</f>
        <v>4.3639431710317386E-3</v>
      </c>
      <c r="J211" s="149"/>
      <c r="K211" s="6">
        <f t="shared" si="16"/>
        <v>0</v>
      </c>
      <c r="L211" s="6">
        <f t="shared" si="17"/>
        <v>0</v>
      </c>
    </row>
    <row r="212" spans="1:12">
      <c r="A212">
        <f t="shared" si="18"/>
        <v>199</v>
      </c>
      <c r="B212" s="136">
        <f>IF(C$5=Data!D$3,'Step 2 Inflow Hydrograph'!H256,IF(C$5=Data!D$4,'Step 2 Inflow Hydrograph'!I256,IF(C$5=Data!D$5,'Step 2 Inflow Hydrograph'!J256,'Step 2 Inflow Hydrograph'!K256)))</f>
        <v>0</v>
      </c>
      <c r="C212" s="127"/>
      <c r="D212" s="6">
        <f t="shared" si="15"/>
        <v>0</v>
      </c>
      <c r="E212" s="6"/>
      <c r="F212" s="6">
        <f t="shared" si="19"/>
        <v>0</v>
      </c>
      <c r="G212" s="149">
        <f>INDEX('Step 4 Stage Discharge'!E$26:F$126,MATCH(F212,'Step 4 Stage Discharge'!E$26:E$126,1),2)+(INDEX('Step 4 Stage Discharge'!E$26:F$126,MATCH(F212,'Step 4 Stage Discharge'!E$26:E$126,1)+1,2)-INDEX('Step 4 Stage Discharge'!E$26:F$126,MATCH(F212,'Step 4 Stage Discharge'!E$26:E$126,1),2))*(F212-INDEX('Step 4 Stage Discharge'!E$26:F$126,MATCH(F212,'Step 4 Stage Discharge'!E$26:E$126,1),1))/(INDEX('Step 4 Stage Discharge'!E$26:F$126,MATCH(F212,'Step 4 Stage Discharge'!E$26:E$126,1)+1,1)-INDEX('Step 4 Stage Discharge'!E$26:F$126,MATCH(F212,'Step 4 Stage Discharge'!E$26:E$126,1),1))</f>
        <v>0</v>
      </c>
      <c r="H212" s="149"/>
      <c r="I212" s="149">
        <f>INDEX('Step 4 Stage Discharge'!E$26:M$126,MATCH(F212,'Step 4 Stage Discharge'!E$26:E$126,1),9)+(INDEX('Step 4 Stage Discharge'!E$26:M$126,MATCH('Step 5 Routing'!F212,'Step 4 Stage Discharge'!E$26:E$126,1)+1,9)-INDEX('Step 4 Stage Discharge'!E$26:M$126,MATCH('Step 5 Routing'!F212,'Step 4 Stage Discharge'!E$26:E$126,1),9))*('Step 5 Routing'!F212-INDEX('Step 4 Stage Discharge'!E$26:M$126,MATCH('Step 5 Routing'!F212,'Step 4 Stage Discharge'!E$26:E$126,1),1))/(INDEX('Step 4 Stage Discharge'!E$26:M$126,MATCH('Step 5 Routing'!F212,'Step 4 Stage Discharge'!E$26:E$126,1)+1,1)-INDEX('Step 4 Stage Discharge'!E$26:M$126,MATCH('Step 5 Routing'!F212,'Step 4 Stage Discharge'!E$26:E$126,1),1))</f>
        <v>4.3639431710317386E-3</v>
      </c>
      <c r="J212" s="149"/>
      <c r="K212" s="6">
        <f t="shared" si="16"/>
        <v>0</v>
      </c>
      <c r="L212" s="6">
        <f t="shared" si="17"/>
        <v>0</v>
      </c>
    </row>
    <row r="213" spans="1:12">
      <c r="A213">
        <f t="shared" si="18"/>
        <v>200</v>
      </c>
      <c r="B213" s="136">
        <f>IF(C$5=Data!D$3,'Step 2 Inflow Hydrograph'!H257,IF(C$5=Data!D$4,'Step 2 Inflow Hydrograph'!I257,IF(C$5=Data!D$5,'Step 2 Inflow Hydrograph'!J257,'Step 2 Inflow Hydrograph'!K257)))</f>
        <v>0</v>
      </c>
      <c r="C213" s="127"/>
      <c r="D213" s="6">
        <f t="shared" si="15"/>
        <v>0</v>
      </c>
      <c r="E213" s="6"/>
      <c r="F213" s="6">
        <f t="shared" si="19"/>
        <v>0</v>
      </c>
      <c r="G213" s="149">
        <f>INDEX('Step 4 Stage Discharge'!E$26:F$126,MATCH(F213,'Step 4 Stage Discharge'!E$26:E$126,1),2)+(INDEX('Step 4 Stage Discharge'!E$26:F$126,MATCH(F213,'Step 4 Stage Discharge'!E$26:E$126,1)+1,2)-INDEX('Step 4 Stage Discharge'!E$26:F$126,MATCH(F213,'Step 4 Stage Discharge'!E$26:E$126,1),2))*(F213-INDEX('Step 4 Stage Discharge'!E$26:F$126,MATCH(F213,'Step 4 Stage Discharge'!E$26:E$126,1),1))/(INDEX('Step 4 Stage Discharge'!E$26:F$126,MATCH(F213,'Step 4 Stage Discharge'!E$26:E$126,1)+1,1)-INDEX('Step 4 Stage Discharge'!E$26:F$126,MATCH(F213,'Step 4 Stage Discharge'!E$26:E$126,1),1))</f>
        <v>0</v>
      </c>
      <c r="H213" s="149"/>
      <c r="I213" s="149">
        <f>INDEX('Step 4 Stage Discharge'!E$26:M$126,MATCH(F213,'Step 4 Stage Discharge'!E$26:E$126,1),9)+(INDEX('Step 4 Stage Discharge'!E$26:M$126,MATCH('Step 5 Routing'!F213,'Step 4 Stage Discharge'!E$26:E$126,1)+1,9)-INDEX('Step 4 Stage Discharge'!E$26:M$126,MATCH('Step 5 Routing'!F213,'Step 4 Stage Discharge'!E$26:E$126,1),9))*('Step 5 Routing'!F213-INDEX('Step 4 Stage Discharge'!E$26:M$126,MATCH('Step 5 Routing'!F213,'Step 4 Stage Discharge'!E$26:E$126,1),1))/(INDEX('Step 4 Stage Discharge'!E$26:M$126,MATCH('Step 5 Routing'!F213,'Step 4 Stage Discharge'!E$26:E$126,1)+1,1)-INDEX('Step 4 Stage Discharge'!E$26:M$126,MATCH('Step 5 Routing'!F213,'Step 4 Stage Discharge'!E$26:E$126,1),1))</f>
        <v>4.3639431710317386E-3</v>
      </c>
      <c r="J213" s="149"/>
      <c r="K213" s="6">
        <f t="shared" si="16"/>
        <v>0</v>
      </c>
      <c r="L213" s="6">
        <f t="shared" si="17"/>
        <v>0</v>
      </c>
    </row>
    <row r="214" spans="1:12">
      <c r="A214">
        <f t="shared" si="18"/>
        <v>201</v>
      </c>
      <c r="B214" s="136">
        <f>IF(C$5=Data!D$3,'Step 2 Inflow Hydrograph'!H258,IF(C$5=Data!D$4,'Step 2 Inflow Hydrograph'!I258,IF(C$5=Data!D$5,'Step 2 Inflow Hydrograph'!J258,'Step 2 Inflow Hydrograph'!K258)))</f>
        <v>0</v>
      </c>
      <c r="C214" s="127"/>
      <c r="D214" s="6">
        <f t="shared" si="15"/>
        <v>0</v>
      </c>
      <c r="E214" s="6"/>
      <c r="F214" s="6">
        <f t="shared" si="19"/>
        <v>0</v>
      </c>
      <c r="G214" s="149">
        <f>INDEX('Step 4 Stage Discharge'!E$26:F$126,MATCH(F214,'Step 4 Stage Discharge'!E$26:E$126,1),2)+(INDEX('Step 4 Stage Discharge'!E$26:F$126,MATCH(F214,'Step 4 Stage Discharge'!E$26:E$126,1)+1,2)-INDEX('Step 4 Stage Discharge'!E$26:F$126,MATCH(F214,'Step 4 Stage Discharge'!E$26:E$126,1),2))*(F214-INDEX('Step 4 Stage Discharge'!E$26:F$126,MATCH(F214,'Step 4 Stage Discharge'!E$26:E$126,1),1))/(INDEX('Step 4 Stage Discharge'!E$26:F$126,MATCH(F214,'Step 4 Stage Discharge'!E$26:E$126,1)+1,1)-INDEX('Step 4 Stage Discharge'!E$26:F$126,MATCH(F214,'Step 4 Stage Discharge'!E$26:E$126,1),1))</f>
        <v>0</v>
      </c>
      <c r="H214" s="149"/>
      <c r="I214" s="149">
        <f>INDEX('Step 4 Stage Discharge'!E$26:M$126,MATCH(F214,'Step 4 Stage Discharge'!E$26:E$126,1),9)+(INDEX('Step 4 Stage Discharge'!E$26:M$126,MATCH('Step 5 Routing'!F214,'Step 4 Stage Discharge'!E$26:E$126,1)+1,9)-INDEX('Step 4 Stage Discharge'!E$26:M$126,MATCH('Step 5 Routing'!F214,'Step 4 Stage Discharge'!E$26:E$126,1),9))*('Step 5 Routing'!F214-INDEX('Step 4 Stage Discharge'!E$26:M$126,MATCH('Step 5 Routing'!F214,'Step 4 Stage Discharge'!E$26:E$126,1),1))/(INDEX('Step 4 Stage Discharge'!E$26:M$126,MATCH('Step 5 Routing'!F214,'Step 4 Stage Discharge'!E$26:E$126,1)+1,1)-INDEX('Step 4 Stage Discharge'!E$26:M$126,MATCH('Step 5 Routing'!F214,'Step 4 Stage Discharge'!E$26:E$126,1),1))</f>
        <v>4.3639431710317386E-3</v>
      </c>
      <c r="J214" s="149"/>
      <c r="K214" s="6">
        <f t="shared" si="16"/>
        <v>0</v>
      </c>
      <c r="L214" s="6">
        <f t="shared" si="17"/>
        <v>0</v>
      </c>
    </row>
    <row r="215" spans="1:12">
      <c r="A215">
        <f t="shared" si="18"/>
        <v>202</v>
      </c>
      <c r="B215" s="136">
        <f>IF(C$5=Data!D$3,'Step 2 Inflow Hydrograph'!H259,IF(C$5=Data!D$4,'Step 2 Inflow Hydrograph'!I259,IF(C$5=Data!D$5,'Step 2 Inflow Hydrograph'!J259,'Step 2 Inflow Hydrograph'!K259)))</f>
        <v>0</v>
      </c>
      <c r="C215" s="127"/>
      <c r="D215" s="6">
        <f t="shared" si="15"/>
        <v>0</v>
      </c>
      <c r="E215" s="6"/>
      <c r="F215" s="6">
        <f t="shared" si="19"/>
        <v>0</v>
      </c>
      <c r="G215" s="149">
        <f>INDEX('Step 4 Stage Discharge'!E$26:F$126,MATCH(F215,'Step 4 Stage Discharge'!E$26:E$126,1),2)+(INDEX('Step 4 Stage Discharge'!E$26:F$126,MATCH(F215,'Step 4 Stage Discharge'!E$26:E$126,1)+1,2)-INDEX('Step 4 Stage Discharge'!E$26:F$126,MATCH(F215,'Step 4 Stage Discharge'!E$26:E$126,1),2))*(F215-INDEX('Step 4 Stage Discharge'!E$26:F$126,MATCH(F215,'Step 4 Stage Discharge'!E$26:E$126,1),1))/(INDEX('Step 4 Stage Discharge'!E$26:F$126,MATCH(F215,'Step 4 Stage Discharge'!E$26:E$126,1)+1,1)-INDEX('Step 4 Stage Discharge'!E$26:F$126,MATCH(F215,'Step 4 Stage Discharge'!E$26:E$126,1),1))</f>
        <v>0</v>
      </c>
      <c r="H215" s="149"/>
      <c r="I215" s="149">
        <f>INDEX('Step 4 Stage Discharge'!E$26:M$126,MATCH(F215,'Step 4 Stage Discharge'!E$26:E$126,1),9)+(INDEX('Step 4 Stage Discharge'!E$26:M$126,MATCH('Step 5 Routing'!F215,'Step 4 Stage Discharge'!E$26:E$126,1)+1,9)-INDEX('Step 4 Stage Discharge'!E$26:M$126,MATCH('Step 5 Routing'!F215,'Step 4 Stage Discharge'!E$26:E$126,1),9))*('Step 5 Routing'!F215-INDEX('Step 4 Stage Discharge'!E$26:M$126,MATCH('Step 5 Routing'!F215,'Step 4 Stage Discharge'!E$26:E$126,1),1))/(INDEX('Step 4 Stage Discharge'!E$26:M$126,MATCH('Step 5 Routing'!F215,'Step 4 Stage Discharge'!E$26:E$126,1)+1,1)-INDEX('Step 4 Stage Discharge'!E$26:M$126,MATCH('Step 5 Routing'!F215,'Step 4 Stage Discharge'!E$26:E$126,1),1))</f>
        <v>4.3639431710317386E-3</v>
      </c>
      <c r="J215" s="149"/>
      <c r="K215" s="6">
        <f t="shared" si="16"/>
        <v>0</v>
      </c>
      <c r="L215" s="6">
        <f t="shared" si="17"/>
        <v>0</v>
      </c>
    </row>
    <row r="216" spans="1:12">
      <c r="A216">
        <f t="shared" si="18"/>
        <v>203</v>
      </c>
      <c r="B216" s="136">
        <f>IF(C$5=Data!D$3,'Step 2 Inflow Hydrograph'!H260,IF(C$5=Data!D$4,'Step 2 Inflow Hydrograph'!I260,IF(C$5=Data!D$5,'Step 2 Inflow Hydrograph'!J260,'Step 2 Inflow Hydrograph'!K260)))</f>
        <v>0</v>
      </c>
      <c r="C216" s="127"/>
      <c r="D216" s="6">
        <f t="shared" si="15"/>
        <v>0</v>
      </c>
      <c r="E216" s="6"/>
      <c r="F216" s="6">
        <f t="shared" si="19"/>
        <v>0</v>
      </c>
      <c r="G216" s="149">
        <f>INDEX('Step 4 Stage Discharge'!E$26:F$126,MATCH(F216,'Step 4 Stage Discharge'!E$26:E$126,1),2)+(INDEX('Step 4 Stage Discharge'!E$26:F$126,MATCH(F216,'Step 4 Stage Discharge'!E$26:E$126,1)+1,2)-INDEX('Step 4 Stage Discharge'!E$26:F$126,MATCH(F216,'Step 4 Stage Discharge'!E$26:E$126,1),2))*(F216-INDEX('Step 4 Stage Discharge'!E$26:F$126,MATCH(F216,'Step 4 Stage Discharge'!E$26:E$126,1),1))/(INDEX('Step 4 Stage Discharge'!E$26:F$126,MATCH(F216,'Step 4 Stage Discharge'!E$26:E$126,1)+1,1)-INDEX('Step 4 Stage Discharge'!E$26:F$126,MATCH(F216,'Step 4 Stage Discharge'!E$26:E$126,1),1))</f>
        <v>0</v>
      </c>
      <c r="H216" s="149"/>
      <c r="I216" s="149">
        <f>INDEX('Step 4 Stage Discharge'!E$26:M$126,MATCH(F216,'Step 4 Stage Discharge'!E$26:E$126,1),9)+(INDEX('Step 4 Stage Discharge'!E$26:M$126,MATCH('Step 5 Routing'!F216,'Step 4 Stage Discharge'!E$26:E$126,1)+1,9)-INDEX('Step 4 Stage Discharge'!E$26:M$126,MATCH('Step 5 Routing'!F216,'Step 4 Stage Discharge'!E$26:E$126,1),9))*('Step 5 Routing'!F216-INDEX('Step 4 Stage Discharge'!E$26:M$126,MATCH('Step 5 Routing'!F216,'Step 4 Stage Discharge'!E$26:E$126,1),1))/(INDEX('Step 4 Stage Discharge'!E$26:M$126,MATCH('Step 5 Routing'!F216,'Step 4 Stage Discharge'!E$26:E$126,1)+1,1)-INDEX('Step 4 Stage Discharge'!E$26:M$126,MATCH('Step 5 Routing'!F216,'Step 4 Stage Discharge'!E$26:E$126,1),1))</f>
        <v>4.3639431710317386E-3</v>
      </c>
      <c r="J216" s="149"/>
      <c r="K216" s="6">
        <f t="shared" si="16"/>
        <v>0</v>
      </c>
      <c r="L216" s="6">
        <f t="shared" si="17"/>
        <v>0</v>
      </c>
    </row>
    <row r="217" spans="1:12">
      <c r="A217">
        <f t="shared" si="18"/>
        <v>204</v>
      </c>
      <c r="B217" s="136">
        <f>IF(C$5=Data!D$3,'Step 2 Inflow Hydrograph'!H261,IF(C$5=Data!D$4,'Step 2 Inflow Hydrograph'!I261,IF(C$5=Data!D$5,'Step 2 Inflow Hydrograph'!J261,'Step 2 Inflow Hydrograph'!K261)))</f>
        <v>0</v>
      </c>
      <c r="C217" s="127"/>
      <c r="D217" s="6">
        <f t="shared" si="15"/>
        <v>0</v>
      </c>
      <c r="E217" s="6"/>
      <c r="F217" s="6">
        <f t="shared" si="19"/>
        <v>0</v>
      </c>
      <c r="G217" s="149">
        <f>INDEX('Step 4 Stage Discharge'!E$26:F$126,MATCH(F217,'Step 4 Stage Discharge'!E$26:E$126,1),2)+(INDEX('Step 4 Stage Discharge'!E$26:F$126,MATCH(F217,'Step 4 Stage Discharge'!E$26:E$126,1)+1,2)-INDEX('Step 4 Stage Discharge'!E$26:F$126,MATCH(F217,'Step 4 Stage Discharge'!E$26:E$126,1),2))*(F217-INDEX('Step 4 Stage Discharge'!E$26:F$126,MATCH(F217,'Step 4 Stage Discharge'!E$26:E$126,1),1))/(INDEX('Step 4 Stage Discharge'!E$26:F$126,MATCH(F217,'Step 4 Stage Discharge'!E$26:E$126,1)+1,1)-INDEX('Step 4 Stage Discharge'!E$26:F$126,MATCH(F217,'Step 4 Stage Discharge'!E$26:E$126,1),1))</f>
        <v>0</v>
      </c>
      <c r="H217" s="149"/>
      <c r="I217" s="149">
        <f>INDEX('Step 4 Stage Discharge'!E$26:M$126,MATCH(F217,'Step 4 Stage Discharge'!E$26:E$126,1),9)+(INDEX('Step 4 Stage Discharge'!E$26:M$126,MATCH('Step 5 Routing'!F217,'Step 4 Stage Discharge'!E$26:E$126,1)+1,9)-INDEX('Step 4 Stage Discharge'!E$26:M$126,MATCH('Step 5 Routing'!F217,'Step 4 Stage Discharge'!E$26:E$126,1),9))*('Step 5 Routing'!F217-INDEX('Step 4 Stage Discharge'!E$26:M$126,MATCH('Step 5 Routing'!F217,'Step 4 Stage Discharge'!E$26:E$126,1),1))/(INDEX('Step 4 Stage Discharge'!E$26:M$126,MATCH('Step 5 Routing'!F217,'Step 4 Stage Discharge'!E$26:E$126,1)+1,1)-INDEX('Step 4 Stage Discharge'!E$26:M$126,MATCH('Step 5 Routing'!F217,'Step 4 Stage Discharge'!E$26:E$126,1),1))</f>
        <v>4.3639431710317386E-3</v>
      </c>
      <c r="J217" s="149"/>
      <c r="K217" s="6">
        <f t="shared" si="16"/>
        <v>0</v>
      </c>
      <c r="L217" s="6">
        <f t="shared" si="17"/>
        <v>0</v>
      </c>
    </row>
    <row r="218" spans="1:12">
      <c r="A218">
        <f t="shared" si="18"/>
        <v>205</v>
      </c>
      <c r="B218" s="136">
        <f>IF(C$5=Data!D$3,'Step 2 Inflow Hydrograph'!H262,IF(C$5=Data!D$4,'Step 2 Inflow Hydrograph'!I262,IF(C$5=Data!D$5,'Step 2 Inflow Hydrograph'!J262,'Step 2 Inflow Hydrograph'!K262)))</f>
        <v>0</v>
      </c>
      <c r="C218" s="127"/>
      <c r="D218" s="6">
        <f t="shared" si="15"/>
        <v>0</v>
      </c>
      <c r="E218" s="6"/>
      <c r="F218" s="6">
        <f t="shared" si="19"/>
        <v>0</v>
      </c>
      <c r="G218" s="149">
        <f>INDEX('Step 4 Stage Discharge'!E$26:F$126,MATCH(F218,'Step 4 Stage Discharge'!E$26:E$126,1),2)+(INDEX('Step 4 Stage Discharge'!E$26:F$126,MATCH(F218,'Step 4 Stage Discharge'!E$26:E$126,1)+1,2)-INDEX('Step 4 Stage Discharge'!E$26:F$126,MATCH(F218,'Step 4 Stage Discharge'!E$26:E$126,1),2))*(F218-INDEX('Step 4 Stage Discharge'!E$26:F$126,MATCH(F218,'Step 4 Stage Discharge'!E$26:E$126,1),1))/(INDEX('Step 4 Stage Discharge'!E$26:F$126,MATCH(F218,'Step 4 Stage Discharge'!E$26:E$126,1)+1,1)-INDEX('Step 4 Stage Discharge'!E$26:F$126,MATCH(F218,'Step 4 Stage Discharge'!E$26:E$126,1),1))</f>
        <v>0</v>
      </c>
      <c r="H218" s="149"/>
      <c r="I218" s="149">
        <f>INDEX('Step 4 Stage Discharge'!E$26:M$126,MATCH(F218,'Step 4 Stage Discharge'!E$26:E$126,1),9)+(INDEX('Step 4 Stage Discharge'!E$26:M$126,MATCH('Step 5 Routing'!F218,'Step 4 Stage Discharge'!E$26:E$126,1)+1,9)-INDEX('Step 4 Stage Discharge'!E$26:M$126,MATCH('Step 5 Routing'!F218,'Step 4 Stage Discharge'!E$26:E$126,1),9))*('Step 5 Routing'!F218-INDEX('Step 4 Stage Discharge'!E$26:M$126,MATCH('Step 5 Routing'!F218,'Step 4 Stage Discharge'!E$26:E$126,1),1))/(INDEX('Step 4 Stage Discharge'!E$26:M$126,MATCH('Step 5 Routing'!F218,'Step 4 Stage Discharge'!E$26:E$126,1)+1,1)-INDEX('Step 4 Stage Discharge'!E$26:M$126,MATCH('Step 5 Routing'!F218,'Step 4 Stage Discharge'!E$26:E$126,1),1))</f>
        <v>4.3639431710317386E-3</v>
      </c>
      <c r="J218" s="149"/>
      <c r="K218" s="6">
        <f t="shared" si="16"/>
        <v>0</v>
      </c>
      <c r="L218" s="6">
        <f t="shared" si="17"/>
        <v>0</v>
      </c>
    </row>
    <row r="219" spans="1:12">
      <c r="A219">
        <f t="shared" si="18"/>
        <v>206</v>
      </c>
      <c r="B219" s="136">
        <f>IF(C$5=Data!D$3,'Step 2 Inflow Hydrograph'!H263,IF(C$5=Data!D$4,'Step 2 Inflow Hydrograph'!I263,IF(C$5=Data!D$5,'Step 2 Inflow Hydrograph'!J263,'Step 2 Inflow Hydrograph'!K263)))</f>
        <v>0</v>
      </c>
      <c r="C219" s="127"/>
      <c r="D219" s="6">
        <f t="shared" si="15"/>
        <v>0</v>
      </c>
      <c r="E219" s="6"/>
      <c r="F219" s="6">
        <f t="shared" si="19"/>
        <v>0</v>
      </c>
      <c r="G219" s="149">
        <f>INDEX('Step 4 Stage Discharge'!E$26:F$126,MATCH(F219,'Step 4 Stage Discharge'!E$26:E$126,1),2)+(INDEX('Step 4 Stage Discharge'!E$26:F$126,MATCH(F219,'Step 4 Stage Discharge'!E$26:E$126,1)+1,2)-INDEX('Step 4 Stage Discharge'!E$26:F$126,MATCH(F219,'Step 4 Stage Discharge'!E$26:E$126,1),2))*(F219-INDEX('Step 4 Stage Discharge'!E$26:F$126,MATCH(F219,'Step 4 Stage Discharge'!E$26:E$126,1),1))/(INDEX('Step 4 Stage Discharge'!E$26:F$126,MATCH(F219,'Step 4 Stage Discharge'!E$26:E$126,1)+1,1)-INDEX('Step 4 Stage Discharge'!E$26:F$126,MATCH(F219,'Step 4 Stage Discharge'!E$26:E$126,1),1))</f>
        <v>0</v>
      </c>
      <c r="H219" s="149"/>
      <c r="I219" s="149">
        <f>INDEX('Step 4 Stage Discharge'!E$26:M$126,MATCH(F219,'Step 4 Stage Discharge'!E$26:E$126,1),9)+(INDEX('Step 4 Stage Discharge'!E$26:M$126,MATCH('Step 5 Routing'!F219,'Step 4 Stage Discharge'!E$26:E$126,1)+1,9)-INDEX('Step 4 Stage Discharge'!E$26:M$126,MATCH('Step 5 Routing'!F219,'Step 4 Stage Discharge'!E$26:E$126,1),9))*('Step 5 Routing'!F219-INDEX('Step 4 Stage Discharge'!E$26:M$126,MATCH('Step 5 Routing'!F219,'Step 4 Stage Discharge'!E$26:E$126,1),1))/(INDEX('Step 4 Stage Discharge'!E$26:M$126,MATCH('Step 5 Routing'!F219,'Step 4 Stage Discharge'!E$26:E$126,1)+1,1)-INDEX('Step 4 Stage Discharge'!E$26:M$126,MATCH('Step 5 Routing'!F219,'Step 4 Stage Discharge'!E$26:E$126,1),1))</f>
        <v>4.3639431710317386E-3</v>
      </c>
      <c r="J219" s="149"/>
      <c r="K219" s="6">
        <f t="shared" si="16"/>
        <v>0</v>
      </c>
      <c r="L219" s="6">
        <f t="shared" si="17"/>
        <v>0</v>
      </c>
    </row>
    <row r="220" spans="1:12">
      <c r="A220">
        <f t="shared" si="18"/>
        <v>207</v>
      </c>
      <c r="B220" s="136">
        <f>IF(C$5=Data!D$3,'Step 2 Inflow Hydrograph'!H264,IF(C$5=Data!D$4,'Step 2 Inflow Hydrograph'!I264,IF(C$5=Data!D$5,'Step 2 Inflow Hydrograph'!J264,'Step 2 Inflow Hydrograph'!K264)))</f>
        <v>0</v>
      </c>
      <c r="C220" s="127"/>
      <c r="D220" s="6">
        <f t="shared" si="15"/>
        <v>0</v>
      </c>
      <c r="E220" s="6"/>
      <c r="F220" s="6">
        <f t="shared" si="19"/>
        <v>0</v>
      </c>
      <c r="G220" s="149">
        <f>INDEX('Step 4 Stage Discharge'!E$26:F$126,MATCH(F220,'Step 4 Stage Discharge'!E$26:E$126,1),2)+(INDEX('Step 4 Stage Discharge'!E$26:F$126,MATCH(F220,'Step 4 Stage Discharge'!E$26:E$126,1)+1,2)-INDEX('Step 4 Stage Discharge'!E$26:F$126,MATCH(F220,'Step 4 Stage Discharge'!E$26:E$126,1),2))*(F220-INDEX('Step 4 Stage Discharge'!E$26:F$126,MATCH(F220,'Step 4 Stage Discharge'!E$26:E$126,1),1))/(INDEX('Step 4 Stage Discharge'!E$26:F$126,MATCH(F220,'Step 4 Stage Discharge'!E$26:E$126,1)+1,1)-INDEX('Step 4 Stage Discharge'!E$26:F$126,MATCH(F220,'Step 4 Stage Discharge'!E$26:E$126,1),1))</f>
        <v>0</v>
      </c>
      <c r="H220" s="149"/>
      <c r="I220" s="149">
        <f>INDEX('Step 4 Stage Discharge'!E$26:M$126,MATCH(F220,'Step 4 Stage Discharge'!E$26:E$126,1),9)+(INDEX('Step 4 Stage Discharge'!E$26:M$126,MATCH('Step 5 Routing'!F220,'Step 4 Stage Discharge'!E$26:E$126,1)+1,9)-INDEX('Step 4 Stage Discharge'!E$26:M$126,MATCH('Step 5 Routing'!F220,'Step 4 Stage Discharge'!E$26:E$126,1),9))*('Step 5 Routing'!F220-INDEX('Step 4 Stage Discharge'!E$26:M$126,MATCH('Step 5 Routing'!F220,'Step 4 Stage Discharge'!E$26:E$126,1),1))/(INDEX('Step 4 Stage Discharge'!E$26:M$126,MATCH('Step 5 Routing'!F220,'Step 4 Stage Discharge'!E$26:E$126,1)+1,1)-INDEX('Step 4 Stage Discharge'!E$26:M$126,MATCH('Step 5 Routing'!F220,'Step 4 Stage Discharge'!E$26:E$126,1),1))</f>
        <v>4.3639431710317386E-3</v>
      </c>
      <c r="J220" s="149"/>
      <c r="K220" s="6">
        <f t="shared" si="16"/>
        <v>0</v>
      </c>
      <c r="L220" s="6">
        <f t="shared" si="17"/>
        <v>0</v>
      </c>
    </row>
    <row r="221" spans="1:12">
      <c r="A221">
        <f t="shared" si="18"/>
        <v>208</v>
      </c>
      <c r="B221" s="136">
        <f>IF(C$5=Data!D$3,'Step 2 Inflow Hydrograph'!H265,IF(C$5=Data!D$4,'Step 2 Inflow Hydrograph'!I265,IF(C$5=Data!D$5,'Step 2 Inflow Hydrograph'!J265,'Step 2 Inflow Hydrograph'!K265)))</f>
        <v>0</v>
      </c>
      <c r="C221" s="127"/>
      <c r="D221" s="6">
        <f t="shared" si="15"/>
        <v>0</v>
      </c>
      <c r="E221" s="6"/>
      <c r="F221" s="6">
        <f t="shared" si="19"/>
        <v>0</v>
      </c>
      <c r="G221" s="149">
        <f>INDEX('Step 4 Stage Discharge'!E$26:F$126,MATCH(F221,'Step 4 Stage Discharge'!E$26:E$126,1),2)+(INDEX('Step 4 Stage Discharge'!E$26:F$126,MATCH(F221,'Step 4 Stage Discharge'!E$26:E$126,1)+1,2)-INDEX('Step 4 Stage Discharge'!E$26:F$126,MATCH(F221,'Step 4 Stage Discharge'!E$26:E$126,1),2))*(F221-INDEX('Step 4 Stage Discharge'!E$26:F$126,MATCH(F221,'Step 4 Stage Discharge'!E$26:E$126,1),1))/(INDEX('Step 4 Stage Discharge'!E$26:F$126,MATCH(F221,'Step 4 Stage Discharge'!E$26:E$126,1)+1,1)-INDEX('Step 4 Stage Discharge'!E$26:F$126,MATCH(F221,'Step 4 Stage Discharge'!E$26:E$126,1),1))</f>
        <v>0</v>
      </c>
      <c r="H221" s="149"/>
      <c r="I221" s="149">
        <f>INDEX('Step 4 Stage Discharge'!E$26:M$126,MATCH(F221,'Step 4 Stage Discharge'!E$26:E$126,1),9)+(INDEX('Step 4 Stage Discharge'!E$26:M$126,MATCH('Step 5 Routing'!F221,'Step 4 Stage Discharge'!E$26:E$126,1)+1,9)-INDEX('Step 4 Stage Discharge'!E$26:M$126,MATCH('Step 5 Routing'!F221,'Step 4 Stage Discharge'!E$26:E$126,1),9))*('Step 5 Routing'!F221-INDEX('Step 4 Stage Discharge'!E$26:M$126,MATCH('Step 5 Routing'!F221,'Step 4 Stage Discharge'!E$26:E$126,1),1))/(INDEX('Step 4 Stage Discharge'!E$26:M$126,MATCH('Step 5 Routing'!F221,'Step 4 Stage Discharge'!E$26:E$126,1)+1,1)-INDEX('Step 4 Stage Discharge'!E$26:M$126,MATCH('Step 5 Routing'!F221,'Step 4 Stage Discharge'!E$26:E$126,1),1))</f>
        <v>4.3639431710317386E-3</v>
      </c>
      <c r="J221" s="149"/>
      <c r="K221" s="6">
        <f t="shared" si="16"/>
        <v>0</v>
      </c>
      <c r="L221" s="6">
        <f t="shared" si="17"/>
        <v>0</v>
      </c>
    </row>
    <row r="222" spans="1:12">
      <c r="A222">
        <f t="shared" si="18"/>
        <v>209</v>
      </c>
      <c r="B222" s="136">
        <f>IF(C$5=Data!D$3,'Step 2 Inflow Hydrograph'!H266,IF(C$5=Data!D$4,'Step 2 Inflow Hydrograph'!I266,IF(C$5=Data!D$5,'Step 2 Inflow Hydrograph'!J266,'Step 2 Inflow Hydrograph'!K266)))</f>
        <v>0</v>
      </c>
      <c r="C222" s="127"/>
      <c r="D222" s="6">
        <f t="shared" si="15"/>
        <v>0</v>
      </c>
      <c r="E222" s="6"/>
      <c r="F222" s="6">
        <f t="shared" si="19"/>
        <v>0</v>
      </c>
      <c r="G222" s="149">
        <f>INDEX('Step 4 Stage Discharge'!E$26:F$126,MATCH(F222,'Step 4 Stage Discharge'!E$26:E$126,1),2)+(INDEX('Step 4 Stage Discharge'!E$26:F$126,MATCH(F222,'Step 4 Stage Discharge'!E$26:E$126,1)+1,2)-INDEX('Step 4 Stage Discharge'!E$26:F$126,MATCH(F222,'Step 4 Stage Discharge'!E$26:E$126,1),2))*(F222-INDEX('Step 4 Stage Discharge'!E$26:F$126,MATCH(F222,'Step 4 Stage Discharge'!E$26:E$126,1),1))/(INDEX('Step 4 Stage Discharge'!E$26:F$126,MATCH(F222,'Step 4 Stage Discharge'!E$26:E$126,1)+1,1)-INDEX('Step 4 Stage Discharge'!E$26:F$126,MATCH(F222,'Step 4 Stage Discharge'!E$26:E$126,1),1))</f>
        <v>0</v>
      </c>
      <c r="H222" s="149"/>
      <c r="I222" s="149">
        <f>INDEX('Step 4 Stage Discharge'!E$26:M$126,MATCH(F222,'Step 4 Stage Discharge'!E$26:E$126,1),9)+(INDEX('Step 4 Stage Discharge'!E$26:M$126,MATCH('Step 5 Routing'!F222,'Step 4 Stage Discharge'!E$26:E$126,1)+1,9)-INDEX('Step 4 Stage Discharge'!E$26:M$126,MATCH('Step 5 Routing'!F222,'Step 4 Stage Discharge'!E$26:E$126,1),9))*('Step 5 Routing'!F222-INDEX('Step 4 Stage Discharge'!E$26:M$126,MATCH('Step 5 Routing'!F222,'Step 4 Stage Discharge'!E$26:E$126,1),1))/(INDEX('Step 4 Stage Discharge'!E$26:M$126,MATCH('Step 5 Routing'!F222,'Step 4 Stage Discharge'!E$26:E$126,1)+1,1)-INDEX('Step 4 Stage Discharge'!E$26:M$126,MATCH('Step 5 Routing'!F222,'Step 4 Stage Discharge'!E$26:E$126,1),1))</f>
        <v>4.3639431710317386E-3</v>
      </c>
      <c r="J222" s="149"/>
      <c r="K222" s="6">
        <f t="shared" si="16"/>
        <v>0</v>
      </c>
      <c r="L222" s="6">
        <f t="shared" si="17"/>
        <v>0</v>
      </c>
    </row>
    <row r="223" spans="1:12">
      <c r="A223">
        <f t="shared" si="18"/>
        <v>210</v>
      </c>
      <c r="B223" s="136">
        <f>IF(C$5=Data!D$3,'Step 2 Inflow Hydrograph'!H267,IF(C$5=Data!D$4,'Step 2 Inflow Hydrograph'!I267,IF(C$5=Data!D$5,'Step 2 Inflow Hydrograph'!J267,'Step 2 Inflow Hydrograph'!K267)))</f>
        <v>0</v>
      </c>
      <c r="C223" s="127"/>
      <c r="D223" s="6">
        <f t="shared" si="15"/>
        <v>0</v>
      </c>
      <c r="E223" s="6"/>
      <c r="F223" s="6">
        <f t="shared" si="19"/>
        <v>0</v>
      </c>
      <c r="G223" s="149">
        <f>INDEX('Step 4 Stage Discharge'!E$26:F$126,MATCH(F223,'Step 4 Stage Discharge'!E$26:E$126,1),2)+(INDEX('Step 4 Stage Discharge'!E$26:F$126,MATCH(F223,'Step 4 Stage Discharge'!E$26:E$126,1)+1,2)-INDEX('Step 4 Stage Discharge'!E$26:F$126,MATCH(F223,'Step 4 Stage Discharge'!E$26:E$126,1),2))*(F223-INDEX('Step 4 Stage Discharge'!E$26:F$126,MATCH(F223,'Step 4 Stage Discharge'!E$26:E$126,1),1))/(INDEX('Step 4 Stage Discharge'!E$26:F$126,MATCH(F223,'Step 4 Stage Discharge'!E$26:E$126,1)+1,1)-INDEX('Step 4 Stage Discharge'!E$26:F$126,MATCH(F223,'Step 4 Stage Discharge'!E$26:E$126,1),1))</f>
        <v>0</v>
      </c>
      <c r="H223" s="149"/>
      <c r="I223" s="149">
        <f>INDEX('Step 4 Stage Discharge'!E$26:M$126,MATCH(F223,'Step 4 Stage Discharge'!E$26:E$126,1),9)+(INDEX('Step 4 Stage Discharge'!E$26:M$126,MATCH('Step 5 Routing'!F223,'Step 4 Stage Discharge'!E$26:E$126,1)+1,9)-INDEX('Step 4 Stage Discharge'!E$26:M$126,MATCH('Step 5 Routing'!F223,'Step 4 Stage Discharge'!E$26:E$126,1),9))*('Step 5 Routing'!F223-INDEX('Step 4 Stage Discharge'!E$26:M$126,MATCH('Step 5 Routing'!F223,'Step 4 Stage Discharge'!E$26:E$126,1),1))/(INDEX('Step 4 Stage Discharge'!E$26:M$126,MATCH('Step 5 Routing'!F223,'Step 4 Stage Discharge'!E$26:E$126,1)+1,1)-INDEX('Step 4 Stage Discharge'!E$26:M$126,MATCH('Step 5 Routing'!F223,'Step 4 Stage Discharge'!E$26:E$126,1),1))</f>
        <v>4.3639431710317386E-3</v>
      </c>
      <c r="J223" s="149"/>
      <c r="K223" s="6">
        <f t="shared" si="16"/>
        <v>0</v>
      </c>
      <c r="L223" s="6">
        <f t="shared" si="17"/>
        <v>0</v>
      </c>
    </row>
    <row r="224" spans="1:12">
      <c r="A224">
        <f t="shared" si="18"/>
        <v>211</v>
      </c>
      <c r="B224" s="136">
        <f>IF(C$5=Data!D$3,'Step 2 Inflow Hydrograph'!H268,IF(C$5=Data!D$4,'Step 2 Inflow Hydrograph'!I268,IF(C$5=Data!D$5,'Step 2 Inflow Hydrograph'!J268,'Step 2 Inflow Hydrograph'!K268)))</f>
        <v>0</v>
      </c>
      <c r="C224" s="127"/>
      <c r="D224" s="6">
        <f t="shared" si="15"/>
        <v>0</v>
      </c>
      <c r="E224" s="6"/>
      <c r="F224" s="6">
        <f t="shared" si="19"/>
        <v>0</v>
      </c>
      <c r="G224" s="149">
        <f>INDEX('Step 4 Stage Discharge'!E$26:F$126,MATCH(F224,'Step 4 Stage Discharge'!E$26:E$126,1),2)+(INDEX('Step 4 Stage Discharge'!E$26:F$126,MATCH(F224,'Step 4 Stage Discharge'!E$26:E$126,1)+1,2)-INDEX('Step 4 Stage Discharge'!E$26:F$126,MATCH(F224,'Step 4 Stage Discharge'!E$26:E$126,1),2))*(F224-INDEX('Step 4 Stage Discharge'!E$26:F$126,MATCH(F224,'Step 4 Stage Discharge'!E$26:E$126,1),1))/(INDEX('Step 4 Stage Discharge'!E$26:F$126,MATCH(F224,'Step 4 Stage Discharge'!E$26:E$126,1)+1,1)-INDEX('Step 4 Stage Discharge'!E$26:F$126,MATCH(F224,'Step 4 Stage Discharge'!E$26:E$126,1),1))</f>
        <v>0</v>
      </c>
      <c r="H224" s="149"/>
      <c r="I224" s="149">
        <f>INDEX('Step 4 Stage Discharge'!E$26:M$126,MATCH(F224,'Step 4 Stage Discharge'!E$26:E$126,1),9)+(INDEX('Step 4 Stage Discharge'!E$26:M$126,MATCH('Step 5 Routing'!F224,'Step 4 Stage Discharge'!E$26:E$126,1)+1,9)-INDEX('Step 4 Stage Discharge'!E$26:M$126,MATCH('Step 5 Routing'!F224,'Step 4 Stage Discharge'!E$26:E$126,1),9))*('Step 5 Routing'!F224-INDEX('Step 4 Stage Discharge'!E$26:M$126,MATCH('Step 5 Routing'!F224,'Step 4 Stage Discharge'!E$26:E$126,1),1))/(INDEX('Step 4 Stage Discharge'!E$26:M$126,MATCH('Step 5 Routing'!F224,'Step 4 Stage Discharge'!E$26:E$126,1)+1,1)-INDEX('Step 4 Stage Discharge'!E$26:M$126,MATCH('Step 5 Routing'!F224,'Step 4 Stage Discharge'!E$26:E$126,1),1))</f>
        <v>4.3639431710317386E-3</v>
      </c>
      <c r="J224" s="149"/>
      <c r="K224" s="6">
        <f t="shared" si="16"/>
        <v>0</v>
      </c>
      <c r="L224" s="6">
        <f t="shared" si="17"/>
        <v>0</v>
      </c>
    </row>
    <row r="225" spans="1:12">
      <c r="A225">
        <f t="shared" si="18"/>
        <v>212</v>
      </c>
      <c r="B225" s="136">
        <f>IF(C$5=Data!D$3,'Step 2 Inflow Hydrograph'!H269,IF(C$5=Data!D$4,'Step 2 Inflow Hydrograph'!I269,IF(C$5=Data!D$5,'Step 2 Inflow Hydrograph'!J269,'Step 2 Inflow Hydrograph'!K269)))</f>
        <v>0</v>
      </c>
      <c r="C225" s="127"/>
      <c r="D225" s="6">
        <f t="shared" si="15"/>
        <v>0</v>
      </c>
      <c r="E225" s="6"/>
      <c r="F225" s="6">
        <f t="shared" si="19"/>
        <v>0</v>
      </c>
      <c r="G225" s="149">
        <f>INDEX('Step 4 Stage Discharge'!E$26:F$126,MATCH(F225,'Step 4 Stage Discharge'!E$26:E$126,1),2)+(INDEX('Step 4 Stage Discharge'!E$26:F$126,MATCH(F225,'Step 4 Stage Discharge'!E$26:E$126,1)+1,2)-INDEX('Step 4 Stage Discharge'!E$26:F$126,MATCH(F225,'Step 4 Stage Discharge'!E$26:E$126,1),2))*(F225-INDEX('Step 4 Stage Discharge'!E$26:F$126,MATCH(F225,'Step 4 Stage Discharge'!E$26:E$126,1),1))/(INDEX('Step 4 Stage Discharge'!E$26:F$126,MATCH(F225,'Step 4 Stage Discharge'!E$26:E$126,1)+1,1)-INDEX('Step 4 Stage Discharge'!E$26:F$126,MATCH(F225,'Step 4 Stage Discharge'!E$26:E$126,1),1))</f>
        <v>0</v>
      </c>
      <c r="H225" s="149"/>
      <c r="I225" s="149">
        <f>INDEX('Step 4 Stage Discharge'!E$26:M$126,MATCH(F225,'Step 4 Stage Discharge'!E$26:E$126,1),9)+(INDEX('Step 4 Stage Discharge'!E$26:M$126,MATCH('Step 5 Routing'!F225,'Step 4 Stage Discharge'!E$26:E$126,1)+1,9)-INDEX('Step 4 Stage Discharge'!E$26:M$126,MATCH('Step 5 Routing'!F225,'Step 4 Stage Discharge'!E$26:E$126,1),9))*('Step 5 Routing'!F225-INDEX('Step 4 Stage Discharge'!E$26:M$126,MATCH('Step 5 Routing'!F225,'Step 4 Stage Discharge'!E$26:E$126,1),1))/(INDEX('Step 4 Stage Discharge'!E$26:M$126,MATCH('Step 5 Routing'!F225,'Step 4 Stage Discharge'!E$26:E$126,1)+1,1)-INDEX('Step 4 Stage Discharge'!E$26:M$126,MATCH('Step 5 Routing'!F225,'Step 4 Stage Discharge'!E$26:E$126,1),1))</f>
        <v>4.3639431710317386E-3</v>
      </c>
      <c r="J225" s="149"/>
      <c r="K225" s="6">
        <f t="shared" si="16"/>
        <v>0</v>
      </c>
      <c r="L225" s="6">
        <f t="shared" si="17"/>
        <v>0</v>
      </c>
    </row>
    <row r="226" spans="1:12">
      <c r="A226">
        <f t="shared" si="18"/>
        <v>213</v>
      </c>
      <c r="B226" s="136">
        <f>IF(C$5=Data!D$3,'Step 2 Inflow Hydrograph'!H270,IF(C$5=Data!D$4,'Step 2 Inflow Hydrograph'!I270,IF(C$5=Data!D$5,'Step 2 Inflow Hydrograph'!J270,'Step 2 Inflow Hydrograph'!K270)))</f>
        <v>0</v>
      </c>
      <c r="C226" s="127"/>
      <c r="D226" s="6">
        <f t="shared" si="15"/>
        <v>0</v>
      </c>
      <c r="E226" s="6"/>
      <c r="F226" s="6">
        <f t="shared" si="19"/>
        <v>0</v>
      </c>
      <c r="G226" s="149">
        <f>INDEX('Step 4 Stage Discharge'!E$26:F$126,MATCH(F226,'Step 4 Stage Discharge'!E$26:E$126,1),2)+(INDEX('Step 4 Stage Discharge'!E$26:F$126,MATCH(F226,'Step 4 Stage Discharge'!E$26:E$126,1)+1,2)-INDEX('Step 4 Stage Discharge'!E$26:F$126,MATCH(F226,'Step 4 Stage Discharge'!E$26:E$126,1),2))*(F226-INDEX('Step 4 Stage Discharge'!E$26:F$126,MATCH(F226,'Step 4 Stage Discharge'!E$26:E$126,1),1))/(INDEX('Step 4 Stage Discharge'!E$26:F$126,MATCH(F226,'Step 4 Stage Discharge'!E$26:E$126,1)+1,1)-INDEX('Step 4 Stage Discharge'!E$26:F$126,MATCH(F226,'Step 4 Stage Discharge'!E$26:E$126,1),1))</f>
        <v>0</v>
      </c>
      <c r="H226" s="149"/>
      <c r="I226" s="149">
        <f>INDEX('Step 4 Stage Discharge'!E$26:M$126,MATCH(F226,'Step 4 Stage Discharge'!E$26:E$126,1),9)+(INDEX('Step 4 Stage Discharge'!E$26:M$126,MATCH('Step 5 Routing'!F226,'Step 4 Stage Discharge'!E$26:E$126,1)+1,9)-INDEX('Step 4 Stage Discharge'!E$26:M$126,MATCH('Step 5 Routing'!F226,'Step 4 Stage Discharge'!E$26:E$126,1),9))*('Step 5 Routing'!F226-INDEX('Step 4 Stage Discharge'!E$26:M$126,MATCH('Step 5 Routing'!F226,'Step 4 Stage Discharge'!E$26:E$126,1),1))/(INDEX('Step 4 Stage Discharge'!E$26:M$126,MATCH('Step 5 Routing'!F226,'Step 4 Stage Discharge'!E$26:E$126,1)+1,1)-INDEX('Step 4 Stage Discharge'!E$26:M$126,MATCH('Step 5 Routing'!F226,'Step 4 Stage Discharge'!E$26:E$126,1),1))</f>
        <v>4.3639431710317386E-3</v>
      </c>
      <c r="J226" s="149"/>
      <c r="K226" s="6">
        <f t="shared" si="16"/>
        <v>0</v>
      </c>
      <c r="L226" s="6">
        <f t="shared" si="17"/>
        <v>0</v>
      </c>
    </row>
    <row r="227" spans="1:12">
      <c r="A227">
        <f t="shared" si="18"/>
        <v>214</v>
      </c>
      <c r="B227" s="136">
        <f>IF(C$5=Data!D$3,'Step 2 Inflow Hydrograph'!H271,IF(C$5=Data!D$4,'Step 2 Inflow Hydrograph'!I271,IF(C$5=Data!D$5,'Step 2 Inflow Hydrograph'!J271,'Step 2 Inflow Hydrograph'!K271)))</f>
        <v>0</v>
      </c>
      <c r="C227" s="127"/>
      <c r="D227" s="6">
        <f t="shared" si="15"/>
        <v>0</v>
      </c>
      <c r="E227" s="6"/>
      <c r="F227" s="6">
        <f t="shared" si="19"/>
        <v>0</v>
      </c>
      <c r="G227" s="149">
        <f>INDEX('Step 4 Stage Discharge'!E$26:F$126,MATCH(F227,'Step 4 Stage Discharge'!E$26:E$126,1),2)+(INDEX('Step 4 Stage Discharge'!E$26:F$126,MATCH(F227,'Step 4 Stage Discharge'!E$26:E$126,1)+1,2)-INDEX('Step 4 Stage Discharge'!E$26:F$126,MATCH(F227,'Step 4 Stage Discharge'!E$26:E$126,1),2))*(F227-INDEX('Step 4 Stage Discharge'!E$26:F$126,MATCH(F227,'Step 4 Stage Discharge'!E$26:E$126,1),1))/(INDEX('Step 4 Stage Discharge'!E$26:F$126,MATCH(F227,'Step 4 Stage Discharge'!E$26:E$126,1)+1,1)-INDEX('Step 4 Stage Discharge'!E$26:F$126,MATCH(F227,'Step 4 Stage Discharge'!E$26:E$126,1),1))</f>
        <v>0</v>
      </c>
      <c r="H227" s="149"/>
      <c r="I227" s="149">
        <f>INDEX('Step 4 Stage Discharge'!E$26:M$126,MATCH(F227,'Step 4 Stage Discharge'!E$26:E$126,1),9)+(INDEX('Step 4 Stage Discharge'!E$26:M$126,MATCH('Step 5 Routing'!F227,'Step 4 Stage Discharge'!E$26:E$126,1)+1,9)-INDEX('Step 4 Stage Discharge'!E$26:M$126,MATCH('Step 5 Routing'!F227,'Step 4 Stage Discharge'!E$26:E$126,1),9))*('Step 5 Routing'!F227-INDEX('Step 4 Stage Discharge'!E$26:M$126,MATCH('Step 5 Routing'!F227,'Step 4 Stage Discharge'!E$26:E$126,1),1))/(INDEX('Step 4 Stage Discharge'!E$26:M$126,MATCH('Step 5 Routing'!F227,'Step 4 Stage Discharge'!E$26:E$126,1)+1,1)-INDEX('Step 4 Stage Discharge'!E$26:M$126,MATCH('Step 5 Routing'!F227,'Step 4 Stage Discharge'!E$26:E$126,1),1))</f>
        <v>4.3639431710317386E-3</v>
      </c>
      <c r="J227" s="149"/>
      <c r="K227" s="6">
        <f t="shared" si="16"/>
        <v>0</v>
      </c>
      <c r="L227" s="6">
        <f t="shared" si="17"/>
        <v>0</v>
      </c>
    </row>
    <row r="228" spans="1:12">
      <c r="A228">
        <f t="shared" si="18"/>
        <v>215</v>
      </c>
      <c r="B228" s="136">
        <f>IF(C$5=Data!D$3,'Step 2 Inflow Hydrograph'!H272,IF(C$5=Data!D$4,'Step 2 Inflow Hydrograph'!I272,IF(C$5=Data!D$5,'Step 2 Inflow Hydrograph'!J272,'Step 2 Inflow Hydrograph'!K272)))</f>
        <v>0</v>
      </c>
      <c r="C228" s="127"/>
      <c r="D228" s="6">
        <f t="shared" si="15"/>
        <v>0</v>
      </c>
      <c r="E228" s="6"/>
      <c r="F228" s="6">
        <f t="shared" si="19"/>
        <v>0</v>
      </c>
      <c r="G228" s="149">
        <f>INDEX('Step 4 Stage Discharge'!E$26:F$126,MATCH(F228,'Step 4 Stage Discharge'!E$26:E$126,1),2)+(INDEX('Step 4 Stage Discharge'!E$26:F$126,MATCH(F228,'Step 4 Stage Discharge'!E$26:E$126,1)+1,2)-INDEX('Step 4 Stage Discharge'!E$26:F$126,MATCH(F228,'Step 4 Stage Discharge'!E$26:E$126,1),2))*(F228-INDEX('Step 4 Stage Discharge'!E$26:F$126,MATCH(F228,'Step 4 Stage Discharge'!E$26:E$126,1),1))/(INDEX('Step 4 Stage Discharge'!E$26:F$126,MATCH(F228,'Step 4 Stage Discharge'!E$26:E$126,1)+1,1)-INDEX('Step 4 Stage Discharge'!E$26:F$126,MATCH(F228,'Step 4 Stage Discharge'!E$26:E$126,1),1))</f>
        <v>0</v>
      </c>
      <c r="H228" s="149"/>
      <c r="I228" s="149">
        <f>INDEX('Step 4 Stage Discharge'!E$26:M$126,MATCH(F228,'Step 4 Stage Discharge'!E$26:E$126,1),9)+(INDEX('Step 4 Stage Discharge'!E$26:M$126,MATCH('Step 5 Routing'!F228,'Step 4 Stage Discharge'!E$26:E$126,1)+1,9)-INDEX('Step 4 Stage Discharge'!E$26:M$126,MATCH('Step 5 Routing'!F228,'Step 4 Stage Discharge'!E$26:E$126,1),9))*('Step 5 Routing'!F228-INDEX('Step 4 Stage Discharge'!E$26:M$126,MATCH('Step 5 Routing'!F228,'Step 4 Stage Discharge'!E$26:E$126,1),1))/(INDEX('Step 4 Stage Discharge'!E$26:M$126,MATCH('Step 5 Routing'!F228,'Step 4 Stage Discharge'!E$26:E$126,1)+1,1)-INDEX('Step 4 Stage Discharge'!E$26:M$126,MATCH('Step 5 Routing'!F228,'Step 4 Stage Discharge'!E$26:E$126,1),1))</f>
        <v>4.3639431710317386E-3</v>
      </c>
      <c r="J228" s="149"/>
      <c r="K228" s="6">
        <f t="shared" si="16"/>
        <v>0</v>
      </c>
      <c r="L228" s="6">
        <f t="shared" si="17"/>
        <v>0</v>
      </c>
    </row>
    <row r="229" spans="1:12">
      <c r="A229">
        <f t="shared" si="18"/>
        <v>216</v>
      </c>
      <c r="B229" s="136">
        <f>IF(C$5=Data!D$3,'Step 2 Inflow Hydrograph'!H273,IF(C$5=Data!D$4,'Step 2 Inflow Hydrograph'!I273,IF(C$5=Data!D$5,'Step 2 Inflow Hydrograph'!J273,'Step 2 Inflow Hydrograph'!K273)))</f>
        <v>0</v>
      </c>
      <c r="C229" s="127"/>
      <c r="D229" s="6">
        <f t="shared" si="15"/>
        <v>0</v>
      </c>
      <c r="E229" s="6"/>
      <c r="F229" s="6">
        <f t="shared" si="19"/>
        <v>0</v>
      </c>
      <c r="G229" s="149">
        <f>INDEX('Step 4 Stage Discharge'!E$26:F$126,MATCH(F229,'Step 4 Stage Discharge'!E$26:E$126,1),2)+(INDEX('Step 4 Stage Discharge'!E$26:F$126,MATCH(F229,'Step 4 Stage Discharge'!E$26:E$126,1)+1,2)-INDEX('Step 4 Stage Discharge'!E$26:F$126,MATCH(F229,'Step 4 Stage Discharge'!E$26:E$126,1),2))*(F229-INDEX('Step 4 Stage Discharge'!E$26:F$126,MATCH(F229,'Step 4 Stage Discharge'!E$26:E$126,1),1))/(INDEX('Step 4 Stage Discharge'!E$26:F$126,MATCH(F229,'Step 4 Stage Discharge'!E$26:E$126,1)+1,1)-INDEX('Step 4 Stage Discharge'!E$26:F$126,MATCH(F229,'Step 4 Stage Discharge'!E$26:E$126,1),1))</f>
        <v>0</v>
      </c>
      <c r="H229" s="149"/>
      <c r="I229" s="149">
        <f>INDEX('Step 4 Stage Discharge'!E$26:M$126,MATCH(F229,'Step 4 Stage Discharge'!E$26:E$126,1),9)+(INDEX('Step 4 Stage Discharge'!E$26:M$126,MATCH('Step 5 Routing'!F229,'Step 4 Stage Discharge'!E$26:E$126,1)+1,9)-INDEX('Step 4 Stage Discharge'!E$26:M$126,MATCH('Step 5 Routing'!F229,'Step 4 Stage Discharge'!E$26:E$126,1),9))*('Step 5 Routing'!F229-INDEX('Step 4 Stage Discharge'!E$26:M$126,MATCH('Step 5 Routing'!F229,'Step 4 Stage Discharge'!E$26:E$126,1),1))/(INDEX('Step 4 Stage Discharge'!E$26:M$126,MATCH('Step 5 Routing'!F229,'Step 4 Stage Discharge'!E$26:E$126,1)+1,1)-INDEX('Step 4 Stage Discharge'!E$26:M$126,MATCH('Step 5 Routing'!F229,'Step 4 Stage Discharge'!E$26:E$126,1),1))</f>
        <v>4.3639431710317386E-3</v>
      </c>
      <c r="J229" s="149"/>
      <c r="K229" s="6">
        <f t="shared" si="16"/>
        <v>0</v>
      </c>
      <c r="L229" s="6">
        <f t="shared" si="17"/>
        <v>0</v>
      </c>
    </row>
    <row r="230" spans="1:12">
      <c r="A230">
        <f t="shared" si="18"/>
        <v>217</v>
      </c>
      <c r="B230" s="136">
        <f>IF(C$5=Data!D$3,'Step 2 Inflow Hydrograph'!H274,IF(C$5=Data!D$4,'Step 2 Inflow Hydrograph'!I274,IF(C$5=Data!D$5,'Step 2 Inflow Hydrograph'!J274,'Step 2 Inflow Hydrograph'!K274)))</f>
        <v>0</v>
      </c>
      <c r="C230" s="127"/>
      <c r="D230" s="6">
        <f t="shared" si="15"/>
        <v>0</v>
      </c>
      <c r="E230" s="6"/>
      <c r="F230" s="6">
        <f t="shared" si="19"/>
        <v>0</v>
      </c>
      <c r="G230" s="149">
        <f>INDEX('Step 4 Stage Discharge'!E$26:F$126,MATCH(F230,'Step 4 Stage Discharge'!E$26:E$126,1),2)+(INDEX('Step 4 Stage Discharge'!E$26:F$126,MATCH(F230,'Step 4 Stage Discharge'!E$26:E$126,1)+1,2)-INDEX('Step 4 Stage Discharge'!E$26:F$126,MATCH(F230,'Step 4 Stage Discharge'!E$26:E$126,1),2))*(F230-INDEX('Step 4 Stage Discharge'!E$26:F$126,MATCH(F230,'Step 4 Stage Discharge'!E$26:E$126,1),1))/(INDEX('Step 4 Stage Discharge'!E$26:F$126,MATCH(F230,'Step 4 Stage Discharge'!E$26:E$126,1)+1,1)-INDEX('Step 4 Stage Discharge'!E$26:F$126,MATCH(F230,'Step 4 Stage Discharge'!E$26:E$126,1),1))</f>
        <v>0</v>
      </c>
      <c r="H230" s="149"/>
      <c r="I230" s="149">
        <f>INDEX('Step 4 Stage Discharge'!E$26:M$126,MATCH(F230,'Step 4 Stage Discharge'!E$26:E$126,1),9)+(INDEX('Step 4 Stage Discharge'!E$26:M$126,MATCH('Step 5 Routing'!F230,'Step 4 Stage Discharge'!E$26:E$126,1)+1,9)-INDEX('Step 4 Stage Discharge'!E$26:M$126,MATCH('Step 5 Routing'!F230,'Step 4 Stage Discharge'!E$26:E$126,1),9))*('Step 5 Routing'!F230-INDEX('Step 4 Stage Discharge'!E$26:M$126,MATCH('Step 5 Routing'!F230,'Step 4 Stage Discharge'!E$26:E$126,1),1))/(INDEX('Step 4 Stage Discharge'!E$26:M$126,MATCH('Step 5 Routing'!F230,'Step 4 Stage Discharge'!E$26:E$126,1)+1,1)-INDEX('Step 4 Stage Discharge'!E$26:M$126,MATCH('Step 5 Routing'!F230,'Step 4 Stage Discharge'!E$26:E$126,1),1))</f>
        <v>4.3639431710317386E-3</v>
      </c>
      <c r="J230" s="149"/>
      <c r="K230" s="6">
        <f t="shared" si="16"/>
        <v>0</v>
      </c>
      <c r="L230" s="6">
        <f t="shared" si="17"/>
        <v>0</v>
      </c>
    </row>
    <row r="231" spans="1:12">
      <c r="A231">
        <f t="shared" si="18"/>
        <v>218</v>
      </c>
      <c r="B231" s="136">
        <f>IF(C$5=Data!D$3,'Step 2 Inflow Hydrograph'!H275,IF(C$5=Data!D$4,'Step 2 Inflow Hydrograph'!I275,IF(C$5=Data!D$5,'Step 2 Inflow Hydrograph'!J275,'Step 2 Inflow Hydrograph'!K275)))</f>
        <v>0</v>
      </c>
      <c r="C231" s="127"/>
      <c r="D231" s="6">
        <f t="shared" si="15"/>
        <v>0</v>
      </c>
      <c r="E231" s="6"/>
      <c r="F231" s="6">
        <f t="shared" si="19"/>
        <v>0</v>
      </c>
      <c r="G231" s="149">
        <f>INDEX('Step 4 Stage Discharge'!E$26:F$126,MATCH(F231,'Step 4 Stage Discharge'!E$26:E$126,1),2)+(INDEX('Step 4 Stage Discharge'!E$26:F$126,MATCH(F231,'Step 4 Stage Discharge'!E$26:E$126,1)+1,2)-INDEX('Step 4 Stage Discharge'!E$26:F$126,MATCH(F231,'Step 4 Stage Discharge'!E$26:E$126,1),2))*(F231-INDEX('Step 4 Stage Discharge'!E$26:F$126,MATCH(F231,'Step 4 Stage Discharge'!E$26:E$126,1),1))/(INDEX('Step 4 Stage Discharge'!E$26:F$126,MATCH(F231,'Step 4 Stage Discharge'!E$26:E$126,1)+1,1)-INDEX('Step 4 Stage Discharge'!E$26:F$126,MATCH(F231,'Step 4 Stage Discharge'!E$26:E$126,1),1))</f>
        <v>0</v>
      </c>
      <c r="H231" s="149"/>
      <c r="I231" s="149">
        <f>INDEX('Step 4 Stage Discharge'!E$26:M$126,MATCH(F231,'Step 4 Stage Discharge'!E$26:E$126,1),9)+(INDEX('Step 4 Stage Discharge'!E$26:M$126,MATCH('Step 5 Routing'!F231,'Step 4 Stage Discharge'!E$26:E$126,1)+1,9)-INDEX('Step 4 Stage Discharge'!E$26:M$126,MATCH('Step 5 Routing'!F231,'Step 4 Stage Discharge'!E$26:E$126,1),9))*('Step 5 Routing'!F231-INDEX('Step 4 Stage Discharge'!E$26:M$126,MATCH('Step 5 Routing'!F231,'Step 4 Stage Discharge'!E$26:E$126,1),1))/(INDEX('Step 4 Stage Discharge'!E$26:M$126,MATCH('Step 5 Routing'!F231,'Step 4 Stage Discharge'!E$26:E$126,1)+1,1)-INDEX('Step 4 Stage Discharge'!E$26:M$126,MATCH('Step 5 Routing'!F231,'Step 4 Stage Discharge'!E$26:E$126,1),1))</f>
        <v>4.3639431710317386E-3</v>
      </c>
      <c r="J231" s="149"/>
      <c r="K231" s="6">
        <f t="shared" si="16"/>
        <v>0</v>
      </c>
      <c r="L231" s="6">
        <f t="shared" si="17"/>
        <v>0</v>
      </c>
    </row>
    <row r="232" spans="1:12">
      <c r="A232">
        <f t="shared" si="18"/>
        <v>219</v>
      </c>
      <c r="B232" s="136">
        <f>IF(C$5=Data!D$3,'Step 2 Inflow Hydrograph'!H276,IF(C$5=Data!D$4,'Step 2 Inflow Hydrograph'!I276,IF(C$5=Data!D$5,'Step 2 Inflow Hydrograph'!J276,'Step 2 Inflow Hydrograph'!K276)))</f>
        <v>0</v>
      </c>
      <c r="C232" s="127"/>
      <c r="D232" s="6">
        <f t="shared" si="15"/>
        <v>0</v>
      </c>
      <c r="E232" s="6"/>
      <c r="F232" s="6">
        <f t="shared" si="19"/>
        <v>0</v>
      </c>
      <c r="G232" s="149">
        <f>INDEX('Step 4 Stage Discharge'!E$26:F$126,MATCH(F232,'Step 4 Stage Discharge'!E$26:E$126,1),2)+(INDEX('Step 4 Stage Discharge'!E$26:F$126,MATCH(F232,'Step 4 Stage Discharge'!E$26:E$126,1)+1,2)-INDEX('Step 4 Stage Discharge'!E$26:F$126,MATCH(F232,'Step 4 Stage Discharge'!E$26:E$126,1),2))*(F232-INDEX('Step 4 Stage Discharge'!E$26:F$126,MATCH(F232,'Step 4 Stage Discharge'!E$26:E$126,1),1))/(INDEX('Step 4 Stage Discharge'!E$26:F$126,MATCH(F232,'Step 4 Stage Discharge'!E$26:E$126,1)+1,1)-INDEX('Step 4 Stage Discharge'!E$26:F$126,MATCH(F232,'Step 4 Stage Discharge'!E$26:E$126,1),1))</f>
        <v>0</v>
      </c>
      <c r="H232" s="149"/>
      <c r="I232" s="149">
        <f>INDEX('Step 4 Stage Discharge'!E$26:M$126,MATCH(F232,'Step 4 Stage Discharge'!E$26:E$126,1),9)+(INDEX('Step 4 Stage Discharge'!E$26:M$126,MATCH('Step 5 Routing'!F232,'Step 4 Stage Discharge'!E$26:E$126,1)+1,9)-INDEX('Step 4 Stage Discharge'!E$26:M$126,MATCH('Step 5 Routing'!F232,'Step 4 Stage Discharge'!E$26:E$126,1),9))*('Step 5 Routing'!F232-INDEX('Step 4 Stage Discharge'!E$26:M$126,MATCH('Step 5 Routing'!F232,'Step 4 Stage Discharge'!E$26:E$126,1),1))/(INDEX('Step 4 Stage Discharge'!E$26:M$126,MATCH('Step 5 Routing'!F232,'Step 4 Stage Discharge'!E$26:E$126,1)+1,1)-INDEX('Step 4 Stage Discharge'!E$26:M$126,MATCH('Step 5 Routing'!F232,'Step 4 Stage Discharge'!E$26:E$126,1),1))</f>
        <v>4.3639431710317386E-3</v>
      </c>
      <c r="J232" s="149"/>
      <c r="K232" s="6">
        <f t="shared" si="16"/>
        <v>0</v>
      </c>
      <c r="L232" s="6">
        <f t="shared" si="17"/>
        <v>0</v>
      </c>
    </row>
    <row r="233" spans="1:12">
      <c r="A233">
        <f t="shared" si="18"/>
        <v>220</v>
      </c>
      <c r="B233" s="136">
        <f>IF(C$5=Data!D$3,'Step 2 Inflow Hydrograph'!H277,IF(C$5=Data!D$4,'Step 2 Inflow Hydrograph'!I277,IF(C$5=Data!D$5,'Step 2 Inflow Hydrograph'!J277,'Step 2 Inflow Hydrograph'!K277)))</f>
        <v>0</v>
      </c>
      <c r="C233" s="127"/>
      <c r="D233" s="6">
        <f t="shared" si="15"/>
        <v>0</v>
      </c>
      <c r="E233" s="6"/>
      <c r="F233" s="6">
        <f t="shared" si="19"/>
        <v>0</v>
      </c>
      <c r="G233" s="149">
        <f>INDEX('Step 4 Stage Discharge'!E$26:F$126,MATCH(F233,'Step 4 Stage Discharge'!E$26:E$126,1),2)+(INDEX('Step 4 Stage Discharge'!E$26:F$126,MATCH(F233,'Step 4 Stage Discharge'!E$26:E$126,1)+1,2)-INDEX('Step 4 Stage Discharge'!E$26:F$126,MATCH(F233,'Step 4 Stage Discharge'!E$26:E$126,1),2))*(F233-INDEX('Step 4 Stage Discharge'!E$26:F$126,MATCH(F233,'Step 4 Stage Discharge'!E$26:E$126,1),1))/(INDEX('Step 4 Stage Discharge'!E$26:F$126,MATCH(F233,'Step 4 Stage Discharge'!E$26:E$126,1)+1,1)-INDEX('Step 4 Stage Discharge'!E$26:F$126,MATCH(F233,'Step 4 Stage Discharge'!E$26:E$126,1),1))</f>
        <v>0</v>
      </c>
      <c r="H233" s="149"/>
      <c r="I233" s="149">
        <f>INDEX('Step 4 Stage Discharge'!E$26:M$126,MATCH(F233,'Step 4 Stage Discharge'!E$26:E$126,1),9)+(INDEX('Step 4 Stage Discharge'!E$26:M$126,MATCH('Step 5 Routing'!F233,'Step 4 Stage Discharge'!E$26:E$126,1)+1,9)-INDEX('Step 4 Stage Discharge'!E$26:M$126,MATCH('Step 5 Routing'!F233,'Step 4 Stage Discharge'!E$26:E$126,1),9))*('Step 5 Routing'!F233-INDEX('Step 4 Stage Discharge'!E$26:M$126,MATCH('Step 5 Routing'!F233,'Step 4 Stage Discharge'!E$26:E$126,1),1))/(INDEX('Step 4 Stage Discharge'!E$26:M$126,MATCH('Step 5 Routing'!F233,'Step 4 Stage Discharge'!E$26:E$126,1)+1,1)-INDEX('Step 4 Stage Discharge'!E$26:M$126,MATCH('Step 5 Routing'!F233,'Step 4 Stage Discharge'!E$26:E$126,1),1))</f>
        <v>4.3639431710317386E-3</v>
      </c>
      <c r="J233" s="149"/>
      <c r="K233" s="6">
        <f t="shared" si="16"/>
        <v>0</v>
      </c>
      <c r="L233" s="6">
        <f t="shared" si="17"/>
        <v>0</v>
      </c>
    </row>
    <row r="234" spans="1:12">
      <c r="A234">
        <f t="shared" si="18"/>
        <v>221</v>
      </c>
      <c r="B234" s="136">
        <f>IF(C$5=Data!D$3,'Step 2 Inflow Hydrograph'!H278,IF(C$5=Data!D$4,'Step 2 Inflow Hydrograph'!I278,IF(C$5=Data!D$5,'Step 2 Inflow Hydrograph'!J278,'Step 2 Inflow Hydrograph'!K278)))</f>
        <v>0</v>
      </c>
      <c r="C234" s="127"/>
      <c r="D234" s="6">
        <f t="shared" si="15"/>
        <v>0</v>
      </c>
      <c r="E234" s="6"/>
      <c r="F234" s="6">
        <f t="shared" si="19"/>
        <v>0</v>
      </c>
      <c r="G234" s="149">
        <f>INDEX('Step 4 Stage Discharge'!E$26:F$126,MATCH(F234,'Step 4 Stage Discharge'!E$26:E$126,1),2)+(INDEX('Step 4 Stage Discharge'!E$26:F$126,MATCH(F234,'Step 4 Stage Discharge'!E$26:E$126,1)+1,2)-INDEX('Step 4 Stage Discharge'!E$26:F$126,MATCH(F234,'Step 4 Stage Discharge'!E$26:E$126,1),2))*(F234-INDEX('Step 4 Stage Discharge'!E$26:F$126,MATCH(F234,'Step 4 Stage Discharge'!E$26:E$126,1),1))/(INDEX('Step 4 Stage Discharge'!E$26:F$126,MATCH(F234,'Step 4 Stage Discharge'!E$26:E$126,1)+1,1)-INDEX('Step 4 Stage Discharge'!E$26:F$126,MATCH(F234,'Step 4 Stage Discharge'!E$26:E$126,1),1))</f>
        <v>0</v>
      </c>
      <c r="H234" s="149"/>
      <c r="I234" s="149">
        <f>INDEX('Step 4 Stage Discharge'!E$26:M$126,MATCH(F234,'Step 4 Stage Discharge'!E$26:E$126,1),9)+(INDEX('Step 4 Stage Discharge'!E$26:M$126,MATCH('Step 5 Routing'!F234,'Step 4 Stage Discharge'!E$26:E$126,1)+1,9)-INDEX('Step 4 Stage Discharge'!E$26:M$126,MATCH('Step 5 Routing'!F234,'Step 4 Stage Discharge'!E$26:E$126,1),9))*('Step 5 Routing'!F234-INDEX('Step 4 Stage Discharge'!E$26:M$126,MATCH('Step 5 Routing'!F234,'Step 4 Stage Discharge'!E$26:E$126,1),1))/(INDEX('Step 4 Stage Discharge'!E$26:M$126,MATCH('Step 5 Routing'!F234,'Step 4 Stage Discharge'!E$26:E$126,1)+1,1)-INDEX('Step 4 Stage Discharge'!E$26:M$126,MATCH('Step 5 Routing'!F234,'Step 4 Stage Discharge'!E$26:E$126,1),1))</f>
        <v>4.3639431710317386E-3</v>
      </c>
      <c r="J234" s="149"/>
      <c r="K234" s="6">
        <f t="shared" si="16"/>
        <v>0</v>
      </c>
      <c r="L234" s="6">
        <f t="shared" si="17"/>
        <v>0</v>
      </c>
    </row>
    <row r="235" spans="1:12">
      <c r="A235">
        <f t="shared" si="18"/>
        <v>222</v>
      </c>
      <c r="B235" s="136">
        <f>IF(C$5=Data!D$3,'Step 2 Inflow Hydrograph'!H279,IF(C$5=Data!D$4,'Step 2 Inflow Hydrograph'!I279,IF(C$5=Data!D$5,'Step 2 Inflow Hydrograph'!J279,'Step 2 Inflow Hydrograph'!K279)))</f>
        <v>0</v>
      </c>
      <c r="C235" s="127"/>
      <c r="D235" s="6">
        <f t="shared" si="15"/>
        <v>0</v>
      </c>
      <c r="E235" s="6"/>
      <c r="F235" s="6">
        <f t="shared" si="19"/>
        <v>0</v>
      </c>
      <c r="G235" s="149">
        <f>INDEX('Step 4 Stage Discharge'!E$26:F$126,MATCH(F235,'Step 4 Stage Discharge'!E$26:E$126,1),2)+(INDEX('Step 4 Stage Discharge'!E$26:F$126,MATCH(F235,'Step 4 Stage Discharge'!E$26:E$126,1)+1,2)-INDEX('Step 4 Stage Discharge'!E$26:F$126,MATCH(F235,'Step 4 Stage Discharge'!E$26:E$126,1),2))*(F235-INDEX('Step 4 Stage Discharge'!E$26:F$126,MATCH(F235,'Step 4 Stage Discharge'!E$26:E$126,1),1))/(INDEX('Step 4 Stage Discharge'!E$26:F$126,MATCH(F235,'Step 4 Stage Discharge'!E$26:E$126,1)+1,1)-INDEX('Step 4 Stage Discharge'!E$26:F$126,MATCH(F235,'Step 4 Stage Discharge'!E$26:E$126,1),1))</f>
        <v>0</v>
      </c>
      <c r="H235" s="149"/>
      <c r="I235" s="149">
        <f>INDEX('Step 4 Stage Discharge'!E$26:M$126,MATCH(F235,'Step 4 Stage Discharge'!E$26:E$126,1),9)+(INDEX('Step 4 Stage Discharge'!E$26:M$126,MATCH('Step 5 Routing'!F235,'Step 4 Stage Discharge'!E$26:E$126,1)+1,9)-INDEX('Step 4 Stage Discharge'!E$26:M$126,MATCH('Step 5 Routing'!F235,'Step 4 Stage Discharge'!E$26:E$126,1),9))*('Step 5 Routing'!F235-INDEX('Step 4 Stage Discharge'!E$26:M$126,MATCH('Step 5 Routing'!F235,'Step 4 Stage Discharge'!E$26:E$126,1),1))/(INDEX('Step 4 Stage Discharge'!E$26:M$126,MATCH('Step 5 Routing'!F235,'Step 4 Stage Discharge'!E$26:E$126,1)+1,1)-INDEX('Step 4 Stage Discharge'!E$26:M$126,MATCH('Step 5 Routing'!F235,'Step 4 Stage Discharge'!E$26:E$126,1),1))</f>
        <v>4.3639431710317386E-3</v>
      </c>
      <c r="J235" s="149"/>
      <c r="K235" s="6">
        <f t="shared" si="16"/>
        <v>0</v>
      </c>
      <c r="L235" s="6">
        <f t="shared" si="17"/>
        <v>0</v>
      </c>
    </row>
    <row r="236" spans="1:12">
      <c r="A236">
        <f t="shared" si="18"/>
        <v>223</v>
      </c>
      <c r="B236" s="136">
        <f>IF(C$5=Data!D$3,'Step 2 Inflow Hydrograph'!H280,IF(C$5=Data!D$4,'Step 2 Inflow Hydrograph'!I280,IF(C$5=Data!D$5,'Step 2 Inflow Hydrograph'!J280,'Step 2 Inflow Hydrograph'!K280)))</f>
        <v>0</v>
      </c>
      <c r="C236" s="127"/>
      <c r="D236" s="6">
        <f t="shared" si="15"/>
        <v>0</v>
      </c>
      <c r="E236" s="6"/>
      <c r="F236" s="6">
        <f t="shared" si="19"/>
        <v>0</v>
      </c>
      <c r="G236" s="149">
        <f>INDEX('Step 4 Stage Discharge'!E$26:F$126,MATCH(F236,'Step 4 Stage Discharge'!E$26:E$126,1),2)+(INDEX('Step 4 Stage Discharge'!E$26:F$126,MATCH(F236,'Step 4 Stage Discharge'!E$26:E$126,1)+1,2)-INDEX('Step 4 Stage Discharge'!E$26:F$126,MATCH(F236,'Step 4 Stage Discharge'!E$26:E$126,1),2))*(F236-INDEX('Step 4 Stage Discharge'!E$26:F$126,MATCH(F236,'Step 4 Stage Discharge'!E$26:E$126,1),1))/(INDEX('Step 4 Stage Discharge'!E$26:F$126,MATCH(F236,'Step 4 Stage Discharge'!E$26:E$126,1)+1,1)-INDEX('Step 4 Stage Discharge'!E$26:F$126,MATCH(F236,'Step 4 Stage Discharge'!E$26:E$126,1),1))</f>
        <v>0</v>
      </c>
      <c r="H236" s="149"/>
      <c r="I236" s="149">
        <f>INDEX('Step 4 Stage Discharge'!E$26:M$126,MATCH(F236,'Step 4 Stage Discharge'!E$26:E$126,1),9)+(INDEX('Step 4 Stage Discharge'!E$26:M$126,MATCH('Step 5 Routing'!F236,'Step 4 Stage Discharge'!E$26:E$126,1)+1,9)-INDEX('Step 4 Stage Discharge'!E$26:M$126,MATCH('Step 5 Routing'!F236,'Step 4 Stage Discharge'!E$26:E$126,1),9))*('Step 5 Routing'!F236-INDEX('Step 4 Stage Discharge'!E$26:M$126,MATCH('Step 5 Routing'!F236,'Step 4 Stage Discharge'!E$26:E$126,1),1))/(INDEX('Step 4 Stage Discharge'!E$26:M$126,MATCH('Step 5 Routing'!F236,'Step 4 Stage Discharge'!E$26:E$126,1)+1,1)-INDEX('Step 4 Stage Discharge'!E$26:M$126,MATCH('Step 5 Routing'!F236,'Step 4 Stage Discharge'!E$26:E$126,1),1))</f>
        <v>4.3639431710317386E-3</v>
      </c>
      <c r="J236" s="149"/>
      <c r="K236" s="6">
        <f t="shared" si="16"/>
        <v>0</v>
      </c>
      <c r="L236" s="6">
        <f t="shared" si="17"/>
        <v>0</v>
      </c>
    </row>
    <row r="237" spans="1:12">
      <c r="A237">
        <f t="shared" si="18"/>
        <v>224</v>
      </c>
      <c r="B237" s="136">
        <f>IF(C$5=Data!D$3,'Step 2 Inflow Hydrograph'!H281,IF(C$5=Data!D$4,'Step 2 Inflow Hydrograph'!I281,IF(C$5=Data!D$5,'Step 2 Inflow Hydrograph'!J281,'Step 2 Inflow Hydrograph'!K281)))</f>
        <v>0</v>
      </c>
      <c r="C237" s="127"/>
      <c r="D237" s="6">
        <f t="shared" si="15"/>
        <v>0</v>
      </c>
      <c r="E237" s="6"/>
      <c r="F237" s="6">
        <f t="shared" si="19"/>
        <v>0</v>
      </c>
      <c r="G237" s="149">
        <f>INDEX('Step 4 Stage Discharge'!E$26:F$126,MATCH(F237,'Step 4 Stage Discharge'!E$26:E$126,1),2)+(INDEX('Step 4 Stage Discharge'!E$26:F$126,MATCH(F237,'Step 4 Stage Discharge'!E$26:E$126,1)+1,2)-INDEX('Step 4 Stage Discharge'!E$26:F$126,MATCH(F237,'Step 4 Stage Discharge'!E$26:E$126,1),2))*(F237-INDEX('Step 4 Stage Discharge'!E$26:F$126,MATCH(F237,'Step 4 Stage Discharge'!E$26:E$126,1),1))/(INDEX('Step 4 Stage Discharge'!E$26:F$126,MATCH(F237,'Step 4 Stage Discharge'!E$26:E$126,1)+1,1)-INDEX('Step 4 Stage Discharge'!E$26:F$126,MATCH(F237,'Step 4 Stage Discharge'!E$26:E$126,1),1))</f>
        <v>0</v>
      </c>
      <c r="H237" s="149"/>
      <c r="I237" s="149">
        <f>INDEX('Step 4 Stage Discharge'!E$26:M$126,MATCH(F237,'Step 4 Stage Discharge'!E$26:E$126,1),9)+(INDEX('Step 4 Stage Discharge'!E$26:M$126,MATCH('Step 5 Routing'!F237,'Step 4 Stage Discharge'!E$26:E$126,1)+1,9)-INDEX('Step 4 Stage Discharge'!E$26:M$126,MATCH('Step 5 Routing'!F237,'Step 4 Stage Discharge'!E$26:E$126,1),9))*('Step 5 Routing'!F237-INDEX('Step 4 Stage Discharge'!E$26:M$126,MATCH('Step 5 Routing'!F237,'Step 4 Stage Discharge'!E$26:E$126,1),1))/(INDEX('Step 4 Stage Discharge'!E$26:M$126,MATCH('Step 5 Routing'!F237,'Step 4 Stage Discharge'!E$26:E$126,1)+1,1)-INDEX('Step 4 Stage Discharge'!E$26:M$126,MATCH('Step 5 Routing'!F237,'Step 4 Stage Discharge'!E$26:E$126,1),1))</f>
        <v>4.3639431710317386E-3</v>
      </c>
      <c r="J237" s="149"/>
      <c r="K237" s="6">
        <f t="shared" si="16"/>
        <v>0</v>
      </c>
      <c r="L237" s="6">
        <f t="shared" si="17"/>
        <v>0</v>
      </c>
    </row>
    <row r="238" spans="1:12">
      <c r="A238">
        <f t="shared" si="18"/>
        <v>225</v>
      </c>
      <c r="B238" s="136">
        <f>IF(C$5=Data!D$3,'Step 2 Inflow Hydrograph'!H282,IF(C$5=Data!D$4,'Step 2 Inflow Hydrograph'!I282,IF(C$5=Data!D$5,'Step 2 Inflow Hydrograph'!J282,'Step 2 Inflow Hydrograph'!K282)))</f>
        <v>0</v>
      </c>
      <c r="C238" s="127"/>
      <c r="D238" s="6">
        <f t="shared" si="15"/>
        <v>0</v>
      </c>
      <c r="E238" s="6"/>
      <c r="F238" s="6">
        <f t="shared" si="19"/>
        <v>0</v>
      </c>
      <c r="G238" s="149">
        <f>INDEX('Step 4 Stage Discharge'!E$26:F$126,MATCH(F238,'Step 4 Stage Discharge'!E$26:E$126,1),2)+(INDEX('Step 4 Stage Discharge'!E$26:F$126,MATCH(F238,'Step 4 Stage Discharge'!E$26:E$126,1)+1,2)-INDEX('Step 4 Stage Discharge'!E$26:F$126,MATCH(F238,'Step 4 Stage Discharge'!E$26:E$126,1),2))*(F238-INDEX('Step 4 Stage Discharge'!E$26:F$126,MATCH(F238,'Step 4 Stage Discharge'!E$26:E$126,1),1))/(INDEX('Step 4 Stage Discharge'!E$26:F$126,MATCH(F238,'Step 4 Stage Discharge'!E$26:E$126,1)+1,1)-INDEX('Step 4 Stage Discharge'!E$26:F$126,MATCH(F238,'Step 4 Stage Discharge'!E$26:E$126,1),1))</f>
        <v>0</v>
      </c>
      <c r="H238" s="149"/>
      <c r="I238" s="149">
        <f>INDEX('Step 4 Stage Discharge'!E$26:M$126,MATCH(F238,'Step 4 Stage Discharge'!E$26:E$126,1),9)+(INDEX('Step 4 Stage Discharge'!E$26:M$126,MATCH('Step 5 Routing'!F238,'Step 4 Stage Discharge'!E$26:E$126,1)+1,9)-INDEX('Step 4 Stage Discharge'!E$26:M$126,MATCH('Step 5 Routing'!F238,'Step 4 Stage Discharge'!E$26:E$126,1),9))*('Step 5 Routing'!F238-INDEX('Step 4 Stage Discharge'!E$26:M$126,MATCH('Step 5 Routing'!F238,'Step 4 Stage Discharge'!E$26:E$126,1),1))/(INDEX('Step 4 Stage Discharge'!E$26:M$126,MATCH('Step 5 Routing'!F238,'Step 4 Stage Discharge'!E$26:E$126,1)+1,1)-INDEX('Step 4 Stage Discharge'!E$26:M$126,MATCH('Step 5 Routing'!F238,'Step 4 Stage Discharge'!E$26:E$126,1),1))</f>
        <v>4.3639431710317386E-3</v>
      </c>
      <c r="J238" s="149"/>
      <c r="K238" s="6">
        <f t="shared" si="16"/>
        <v>0</v>
      </c>
      <c r="L238" s="6">
        <f t="shared" si="17"/>
        <v>0</v>
      </c>
    </row>
    <row r="239" spans="1:12">
      <c r="A239">
        <f t="shared" si="18"/>
        <v>226</v>
      </c>
      <c r="B239" s="136">
        <f>IF(C$5=Data!D$3,'Step 2 Inflow Hydrograph'!H283,IF(C$5=Data!D$4,'Step 2 Inflow Hydrograph'!I283,IF(C$5=Data!D$5,'Step 2 Inflow Hydrograph'!J283,'Step 2 Inflow Hydrograph'!K283)))</f>
        <v>0</v>
      </c>
      <c r="C239" s="127"/>
      <c r="D239" s="6">
        <f t="shared" si="15"/>
        <v>0</v>
      </c>
      <c r="E239" s="6"/>
      <c r="F239" s="6">
        <f t="shared" si="19"/>
        <v>0</v>
      </c>
      <c r="G239" s="149">
        <f>INDEX('Step 4 Stage Discharge'!E$26:F$126,MATCH(F239,'Step 4 Stage Discharge'!E$26:E$126,1),2)+(INDEX('Step 4 Stage Discharge'!E$26:F$126,MATCH(F239,'Step 4 Stage Discharge'!E$26:E$126,1)+1,2)-INDEX('Step 4 Stage Discharge'!E$26:F$126,MATCH(F239,'Step 4 Stage Discharge'!E$26:E$126,1),2))*(F239-INDEX('Step 4 Stage Discharge'!E$26:F$126,MATCH(F239,'Step 4 Stage Discharge'!E$26:E$126,1),1))/(INDEX('Step 4 Stage Discharge'!E$26:F$126,MATCH(F239,'Step 4 Stage Discharge'!E$26:E$126,1)+1,1)-INDEX('Step 4 Stage Discharge'!E$26:F$126,MATCH(F239,'Step 4 Stage Discharge'!E$26:E$126,1),1))</f>
        <v>0</v>
      </c>
      <c r="H239" s="149"/>
      <c r="I239" s="149">
        <f>INDEX('Step 4 Stage Discharge'!E$26:M$126,MATCH(F239,'Step 4 Stage Discharge'!E$26:E$126,1),9)+(INDEX('Step 4 Stage Discharge'!E$26:M$126,MATCH('Step 5 Routing'!F239,'Step 4 Stage Discharge'!E$26:E$126,1)+1,9)-INDEX('Step 4 Stage Discharge'!E$26:M$126,MATCH('Step 5 Routing'!F239,'Step 4 Stage Discharge'!E$26:E$126,1),9))*('Step 5 Routing'!F239-INDEX('Step 4 Stage Discharge'!E$26:M$126,MATCH('Step 5 Routing'!F239,'Step 4 Stage Discharge'!E$26:E$126,1),1))/(INDEX('Step 4 Stage Discharge'!E$26:M$126,MATCH('Step 5 Routing'!F239,'Step 4 Stage Discharge'!E$26:E$126,1)+1,1)-INDEX('Step 4 Stage Discharge'!E$26:M$126,MATCH('Step 5 Routing'!F239,'Step 4 Stage Discharge'!E$26:E$126,1),1))</f>
        <v>4.3639431710317386E-3</v>
      </c>
      <c r="J239" s="149"/>
      <c r="K239" s="6">
        <f t="shared" si="16"/>
        <v>0</v>
      </c>
      <c r="L239" s="6">
        <f t="shared" si="17"/>
        <v>0</v>
      </c>
    </row>
    <row r="240" spans="1:12">
      <c r="A240">
        <f t="shared" si="18"/>
        <v>227</v>
      </c>
      <c r="B240" s="136">
        <f>IF(C$5=Data!D$3,'Step 2 Inflow Hydrograph'!H284,IF(C$5=Data!D$4,'Step 2 Inflow Hydrograph'!I284,IF(C$5=Data!D$5,'Step 2 Inflow Hydrograph'!J284,'Step 2 Inflow Hydrograph'!K284)))</f>
        <v>0</v>
      </c>
      <c r="C240" s="127"/>
      <c r="D240" s="6">
        <f t="shared" si="15"/>
        <v>0</v>
      </c>
      <c r="E240" s="6"/>
      <c r="F240" s="6">
        <f t="shared" si="19"/>
        <v>0</v>
      </c>
      <c r="G240" s="149">
        <f>INDEX('Step 4 Stage Discharge'!E$26:F$126,MATCH(F240,'Step 4 Stage Discharge'!E$26:E$126,1),2)+(INDEX('Step 4 Stage Discharge'!E$26:F$126,MATCH(F240,'Step 4 Stage Discharge'!E$26:E$126,1)+1,2)-INDEX('Step 4 Stage Discharge'!E$26:F$126,MATCH(F240,'Step 4 Stage Discharge'!E$26:E$126,1),2))*(F240-INDEX('Step 4 Stage Discharge'!E$26:F$126,MATCH(F240,'Step 4 Stage Discharge'!E$26:E$126,1),1))/(INDEX('Step 4 Stage Discharge'!E$26:F$126,MATCH(F240,'Step 4 Stage Discharge'!E$26:E$126,1)+1,1)-INDEX('Step 4 Stage Discharge'!E$26:F$126,MATCH(F240,'Step 4 Stage Discharge'!E$26:E$126,1),1))</f>
        <v>0</v>
      </c>
      <c r="H240" s="149"/>
      <c r="I240" s="149">
        <f>INDEX('Step 4 Stage Discharge'!E$26:M$126,MATCH(F240,'Step 4 Stage Discharge'!E$26:E$126,1),9)+(INDEX('Step 4 Stage Discharge'!E$26:M$126,MATCH('Step 5 Routing'!F240,'Step 4 Stage Discharge'!E$26:E$126,1)+1,9)-INDEX('Step 4 Stage Discharge'!E$26:M$126,MATCH('Step 5 Routing'!F240,'Step 4 Stage Discharge'!E$26:E$126,1),9))*('Step 5 Routing'!F240-INDEX('Step 4 Stage Discharge'!E$26:M$126,MATCH('Step 5 Routing'!F240,'Step 4 Stage Discharge'!E$26:E$126,1),1))/(INDEX('Step 4 Stage Discharge'!E$26:M$126,MATCH('Step 5 Routing'!F240,'Step 4 Stage Discharge'!E$26:E$126,1)+1,1)-INDEX('Step 4 Stage Discharge'!E$26:M$126,MATCH('Step 5 Routing'!F240,'Step 4 Stage Discharge'!E$26:E$126,1),1))</f>
        <v>4.3639431710317386E-3</v>
      </c>
      <c r="J240" s="149"/>
      <c r="K240" s="6">
        <f t="shared" si="16"/>
        <v>0</v>
      </c>
      <c r="L240" s="6">
        <f t="shared" si="17"/>
        <v>0</v>
      </c>
    </row>
    <row r="241" spans="1:12">
      <c r="A241">
        <f t="shared" si="18"/>
        <v>228</v>
      </c>
      <c r="B241" s="136">
        <f>IF(C$5=Data!D$3,'Step 2 Inflow Hydrograph'!H285,IF(C$5=Data!D$4,'Step 2 Inflow Hydrograph'!I285,IF(C$5=Data!D$5,'Step 2 Inflow Hydrograph'!J285,'Step 2 Inflow Hydrograph'!K285)))</f>
        <v>0</v>
      </c>
      <c r="C241" s="127"/>
      <c r="D241" s="6">
        <f t="shared" si="15"/>
        <v>0</v>
      </c>
      <c r="E241" s="6"/>
      <c r="F241" s="6">
        <f t="shared" si="19"/>
        <v>0</v>
      </c>
      <c r="G241" s="149">
        <f>INDEX('Step 4 Stage Discharge'!E$26:F$126,MATCH(F241,'Step 4 Stage Discharge'!E$26:E$126,1),2)+(INDEX('Step 4 Stage Discharge'!E$26:F$126,MATCH(F241,'Step 4 Stage Discharge'!E$26:E$126,1)+1,2)-INDEX('Step 4 Stage Discharge'!E$26:F$126,MATCH(F241,'Step 4 Stage Discharge'!E$26:E$126,1),2))*(F241-INDEX('Step 4 Stage Discharge'!E$26:F$126,MATCH(F241,'Step 4 Stage Discharge'!E$26:E$126,1),1))/(INDEX('Step 4 Stage Discharge'!E$26:F$126,MATCH(F241,'Step 4 Stage Discharge'!E$26:E$126,1)+1,1)-INDEX('Step 4 Stage Discharge'!E$26:F$126,MATCH(F241,'Step 4 Stage Discharge'!E$26:E$126,1),1))</f>
        <v>0</v>
      </c>
      <c r="H241" s="149"/>
      <c r="I241" s="149">
        <f>INDEX('Step 4 Stage Discharge'!E$26:M$126,MATCH(F241,'Step 4 Stage Discharge'!E$26:E$126,1),9)+(INDEX('Step 4 Stage Discharge'!E$26:M$126,MATCH('Step 5 Routing'!F241,'Step 4 Stage Discharge'!E$26:E$126,1)+1,9)-INDEX('Step 4 Stage Discharge'!E$26:M$126,MATCH('Step 5 Routing'!F241,'Step 4 Stage Discharge'!E$26:E$126,1),9))*('Step 5 Routing'!F241-INDEX('Step 4 Stage Discharge'!E$26:M$126,MATCH('Step 5 Routing'!F241,'Step 4 Stage Discharge'!E$26:E$126,1),1))/(INDEX('Step 4 Stage Discharge'!E$26:M$126,MATCH('Step 5 Routing'!F241,'Step 4 Stage Discharge'!E$26:E$126,1)+1,1)-INDEX('Step 4 Stage Discharge'!E$26:M$126,MATCH('Step 5 Routing'!F241,'Step 4 Stage Discharge'!E$26:E$126,1),1))</f>
        <v>4.3639431710317386E-3</v>
      </c>
      <c r="J241" s="149"/>
      <c r="K241" s="6">
        <f t="shared" si="16"/>
        <v>0</v>
      </c>
      <c r="L241" s="6">
        <f t="shared" si="17"/>
        <v>0</v>
      </c>
    </row>
    <row r="242" spans="1:12">
      <c r="A242">
        <f t="shared" si="18"/>
        <v>229</v>
      </c>
      <c r="B242" s="136">
        <f>IF(C$5=Data!D$3,'Step 2 Inflow Hydrograph'!H286,IF(C$5=Data!D$4,'Step 2 Inflow Hydrograph'!I286,IF(C$5=Data!D$5,'Step 2 Inflow Hydrograph'!J286,'Step 2 Inflow Hydrograph'!K286)))</f>
        <v>0</v>
      </c>
      <c r="C242" s="127"/>
      <c r="D242" s="6">
        <f t="shared" si="15"/>
        <v>0</v>
      </c>
      <c r="E242" s="6"/>
      <c r="F242" s="6">
        <f t="shared" si="19"/>
        <v>0</v>
      </c>
      <c r="G242" s="149">
        <f>INDEX('Step 4 Stage Discharge'!E$26:F$126,MATCH(F242,'Step 4 Stage Discharge'!E$26:E$126,1),2)+(INDEX('Step 4 Stage Discharge'!E$26:F$126,MATCH(F242,'Step 4 Stage Discharge'!E$26:E$126,1)+1,2)-INDEX('Step 4 Stage Discharge'!E$26:F$126,MATCH(F242,'Step 4 Stage Discharge'!E$26:E$126,1),2))*(F242-INDEX('Step 4 Stage Discharge'!E$26:F$126,MATCH(F242,'Step 4 Stage Discharge'!E$26:E$126,1),1))/(INDEX('Step 4 Stage Discharge'!E$26:F$126,MATCH(F242,'Step 4 Stage Discharge'!E$26:E$126,1)+1,1)-INDEX('Step 4 Stage Discharge'!E$26:F$126,MATCH(F242,'Step 4 Stage Discharge'!E$26:E$126,1),1))</f>
        <v>0</v>
      </c>
      <c r="H242" s="149"/>
      <c r="I242" s="149">
        <f>INDEX('Step 4 Stage Discharge'!E$26:M$126,MATCH(F242,'Step 4 Stage Discharge'!E$26:E$126,1),9)+(INDEX('Step 4 Stage Discharge'!E$26:M$126,MATCH('Step 5 Routing'!F242,'Step 4 Stage Discharge'!E$26:E$126,1)+1,9)-INDEX('Step 4 Stage Discharge'!E$26:M$126,MATCH('Step 5 Routing'!F242,'Step 4 Stage Discharge'!E$26:E$126,1),9))*('Step 5 Routing'!F242-INDEX('Step 4 Stage Discharge'!E$26:M$126,MATCH('Step 5 Routing'!F242,'Step 4 Stage Discharge'!E$26:E$126,1),1))/(INDEX('Step 4 Stage Discharge'!E$26:M$126,MATCH('Step 5 Routing'!F242,'Step 4 Stage Discharge'!E$26:E$126,1)+1,1)-INDEX('Step 4 Stage Discharge'!E$26:M$126,MATCH('Step 5 Routing'!F242,'Step 4 Stage Discharge'!E$26:E$126,1),1))</f>
        <v>4.3639431710317386E-3</v>
      </c>
      <c r="J242" s="149"/>
      <c r="K242" s="6">
        <f t="shared" si="16"/>
        <v>0</v>
      </c>
      <c r="L242" s="6">
        <f t="shared" si="17"/>
        <v>0</v>
      </c>
    </row>
    <row r="243" spans="1:12">
      <c r="A243">
        <f t="shared" si="18"/>
        <v>230</v>
      </c>
      <c r="B243" s="136">
        <f>IF(C$5=Data!D$3,'Step 2 Inflow Hydrograph'!H287,IF(C$5=Data!D$4,'Step 2 Inflow Hydrograph'!I287,IF(C$5=Data!D$5,'Step 2 Inflow Hydrograph'!J287,'Step 2 Inflow Hydrograph'!K287)))</f>
        <v>0</v>
      </c>
      <c r="C243" s="127"/>
      <c r="D243" s="6">
        <f t="shared" si="15"/>
        <v>0</v>
      </c>
      <c r="E243" s="6"/>
      <c r="F243" s="6">
        <f t="shared" si="19"/>
        <v>0</v>
      </c>
      <c r="G243" s="149">
        <f>INDEX('Step 4 Stage Discharge'!E$26:F$126,MATCH(F243,'Step 4 Stage Discharge'!E$26:E$126,1),2)+(INDEX('Step 4 Stage Discharge'!E$26:F$126,MATCH(F243,'Step 4 Stage Discharge'!E$26:E$126,1)+1,2)-INDEX('Step 4 Stage Discharge'!E$26:F$126,MATCH(F243,'Step 4 Stage Discharge'!E$26:E$126,1),2))*(F243-INDEX('Step 4 Stage Discharge'!E$26:F$126,MATCH(F243,'Step 4 Stage Discharge'!E$26:E$126,1),1))/(INDEX('Step 4 Stage Discharge'!E$26:F$126,MATCH(F243,'Step 4 Stage Discharge'!E$26:E$126,1)+1,1)-INDEX('Step 4 Stage Discharge'!E$26:F$126,MATCH(F243,'Step 4 Stage Discharge'!E$26:E$126,1),1))</f>
        <v>0</v>
      </c>
      <c r="H243" s="149"/>
      <c r="I243" s="149">
        <f>INDEX('Step 4 Stage Discharge'!E$26:M$126,MATCH(F243,'Step 4 Stage Discharge'!E$26:E$126,1),9)+(INDEX('Step 4 Stage Discharge'!E$26:M$126,MATCH('Step 5 Routing'!F243,'Step 4 Stage Discharge'!E$26:E$126,1)+1,9)-INDEX('Step 4 Stage Discharge'!E$26:M$126,MATCH('Step 5 Routing'!F243,'Step 4 Stage Discharge'!E$26:E$126,1),9))*('Step 5 Routing'!F243-INDEX('Step 4 Stage Discharge'!E$26:M$126,MATCH('Step 5 Routing'!F243,'Step 4 Stage Discharge'!E$26:E$126,1),1))/(INDEX('Step 4 Stage Discharge'!E$26:M$126,MATCH('Step 5 Routing'!F243,'Step 4 Stage Discharge'!E$26:E$126,1)+1,1)-INDEX('Step 4 Stage Discharge'!E$26:M$126,MATCH('Step 5 Routing'!F243,'Step 4 Stage Discharge'!E$26:E$126,1),1))</f>
        <v>4.3639431710317386E-3</v>
      </c>
      <c r="J243" s="149"/>
      <c r="K243" s="6">
        <f t="shared" si="16"/>
        <v>0</v>
      </c>
      <c r="L243" s="6">
        <f t="shared" si="17"/>
        <v>0</v>
      </c>
    </row>
    <row r="244" spans="1:12">
      <c r="A244">
        <f t="shared" si="18"/>
        <v>231</v>
      </c>
      <c r="B244" s="136">
        <f>IF(C$5=Data!D$3,'Step 2 Inflow Hydrograph'!H288,IF(C$5=Data!D$4,'Step 2 Inflow Hydrograph'!I288,IF(C$5=Data!D$5,'Step 2 Inflow Hydrograph'!J288,'Step 2 Inflow Hydrograph'!K288)))</f>
        <v>0</v>
      </c>
      <c r="C244" s="127"/>
      <c r="D244" s="6">
        <f t="shared" si="15"/>
        <v>0</v>
      </c>
      <c r="E244" s="6"/>
      <c r="F244" s="6">
        <f t="shared" si="19"/>
        <v>0</v>
      </c>
      <c r="G244" s="149">
        <f>INDEX('Step 4 Stage Discharge'!E$26:F$126,MATCH(F244,'Step 4 Stage Discharge'!E$26:E$126,1),2)+(INDEX('Step 4 Stage Discharge'!E$26:F$126,MATCH(F244,'Step 4 Stage Discharge'!E$26:E$126,1)+1,2)-INDEX('Step 4 Stage Discharge'!E$26:F$126,MATCH(F244,'Step 4 Stage Discharge'!E$26:E$126,1),2))*(F244-INDEX('Step 4 Stage Discharge'!E$26:F$126,MATCH(F244,'Step 4 Stage Discharge'!E$26:E$126,1),1))/(INDEX('Step 4 Stage Discharge'!E$26:F$126,MATCH(F244,'Step 4 Stage Discharge'!E$26:E$126,1)+1,1)-INDEX('Step 4 Stage Discharge'!E$26:F$126,MATCH(F244,'Step 4 Stage Discharge'!E$26:E$126,1),1))</f>
        <v>0</v>
      </c>
      <c r="H244" s="149"/>
      <c r="I244" s="149">
        <f>INDEX('Step 4 Stage Discharge'!E$26:M$126,MATCH(F244,'Step 4 Stage Discharge'!E$26:E$126,1),9)+(INDEX('Step 4 Stage Discharge'!E$26:M$126,MATCH('Step 5 Routing'!F244,'Step 4 Stage Discharge'!E$26:E$126,1)+1,9)-INDEX('Step 4 Stage Discharge'!E$26:M$126,MATCH('Step 5 Routing'!F244,'Step 4 Stage Discharge'!E$26:E$126,1),9))*('Step 5 Routing'!F244-INDEX('Step 4 Stage Discharge'!E$26:M$126,MATCH('Step 5 Routing'!F244,'Step 4 Stage Discharge'!E$26:E$126,1),1))/(INDEX('Step 4 Stage Discharge'!E$26:M$126,MATCH('Step 5 Routing'!F244,'Step 4 Stage Discharge'!E$26:E$126,1)+1,1)-INDEX('Step 4 Stage Discharge'!E$26:M$126,MATCH('Step 5 Routing'!F244,'Step 4 Stage Discharge'!E$26:E$126,1),1))</f>
        <v>4.3639431710317386E-3</v>
      </c>
      <c r="J244" s="149"/>
      <c r="K244" s="6">
        <f t="shared" si="16"/>
        <v>0</v>
      </c>
      <c r="L244" s="6">
        <f t="shared" si="17"/>
        <v>0</v>
      </c>
    </row>
    <row r="245" spans="1:12">
      <c r="A245">
        <f t="shared" si="18"/>
        <v>232</v>
      </c>
      <c r="B245" s="136">
        <f>IF(C$5=Data!D$3,'Step 2 Inflow Hydrograph'!H289,IF(C$5=Data!D$4,'Step 2 Inflow Hydrograph'!I289,IF(C$5=Data!D$5,'Step 2 Inflow Hydrograph'!J289,'Step 2 Inflow Hydrograph'!K289)))</f>
        <v>0</v>
      </c>
      <c r="C245" s="127"/>
      <c r="D245" s="6">
        <f t="shared" si="15"/>
        <v>0</v>
      </c>
      <c r="E245" s="6"/>
      <c r="F245" s="6">
        <f t="shared" si="19"/>
        <v>0</v>
      </c>
      <c r="G245" s="149">
        <f>INDEX('Step 4 Stage Discharge'!E$26:F$126,MATCH(F245,'Step 4 Stage Discharge'!E$26:E$126,1),2)+(INDEX('Step 4 Stage Discharge'!E$26:F$126,MATCH(F245,'Step 4 Stage Discharge'!E$26:E$126,1)+1,2)-INDEX('Step 4 Stage Discharge'!E$26:F$126,MATCH(F245,'Step 4 Stage Discharge'!E$26:E$126,1),2))*(F245-INDEX('Step 4 Stage Discharge'!E$26:F$126,MATCH(F245,'Step 4 Stage Discharge'!E$26:E$126,1),1))/(INDEX('Step 4 Stage Discharge'!E$26:F$126,MATCH(F245,'Step 4 Stage Discharge'!E$26:E$126,1)+1,1)-INDEX('Step 4 Stage Discharge'!E$26:F$126,MATCH(F245,'Step 4 Stage Discharge'!E$26:E$126,1),1))</f>
        <v>0</v>
      </c>
      <c r="H245" s="149"/>
      <c r="I245" s="149">
        <f>INDEX('Step 4 Stage Discharge'!E$26:M$126,MATCH(F245,'Step 4 Stage Discharge'!E$26:E$126,1),9)+(INDEX('Step 4 Stage Discharge'!E$26:M$126,MATCH('Step 5 Routing'!F245,'Step 4 Stage Discharge'!E$26:E$126,1)+1,9)-INDEX('Step 4 Stage Discharge'!E$26:M$126,MATCH('Step 5 Routing'!F245,'Step 4 Stage Discharge'!E$26:E$126,1),9))*('Step 5 Routing'!F245-INDEX('Step 4 Stage Discharge'!E$26:M$126,MATCH('Step 5 Routing'!F245,'Step 4 Stage Discharge'!E$26:E$126,1),1))/(INDEX('Step 4 Stage Discharge'!E$26:M$126,MATCH('Step 5 Routing'!F245,'Step 4 Stage Discharge'!E$26:E$126,1)+1,1)-INDEX('Step 4 Stage Discharge'!E$26:M$126,MATCH('Step 5 Routing'!F245,'Step 4 Stage Discharge'!E$26:E$126,1),1))</f>
        <v>4.3639431710317386E-3</v>
      </c>
      <c r="J245" s="149"/>
      <c r="K245" s="6">
        <f t="shared" si="16"/>
        <v>0</v>
      </c>
      <c r="L245" s="6">
        <f t="shared" si="17"/>
        <v>0</v>
      </c>
    </row>
    <row r="246" spans="1:12">
      <c r="A246">
        <f t="shared" si="18"/>
        <v>233</v>
      </c>
      <c r="B246" s="136">
        <f>IF(C$5=Data!D$3,'Step 2 Inflow Hydrograph'!H290,IF(C$5=Data!D$4,'Step 2 Inflow Hydrograph'!I290,IF(C$5=Data!D$5,'Step 2 Inflow Hydrograph'!J290,'Step 2 Inflow Hydrograph'!K290)))</f>
        <v>0</v>
      </c>
      <c r="C246" s="127"/>
      <c r="D246" s="6">
        <f t="shared" si="15"/>
        <v>0</v>
      </c>
      <c r="E246" s="6"/>
      <c r="F246" s="6">
        <f t="shared" si="19"/>
        <v>0</v>
      </c>
      <c r="G246" s="149">
        <f>INDEX('Step 4 Stage Discharge'!E$26:F$126,MATCH(F246,'Step 4 Stage Discharge'!E$26:E$126,1),2)+(INDEX('Step 4 Stage Discharge'!E$26:F$126,MATCH(F246,'Step 4 Stage Discharge'!E$26:E$126,1)+1,2)-INDEX('Step 4 Stage Discharge'!E$26:F$126,MATCH(F246,'Step 4 Stage Discharge'!E$26:E$126,1),2))*(F246-INDEX('Step 4 Stage Discharge'!E$26:F$126,MATCH(F246,'Step 4 Stage Discharge'!E$26:E$126,1),1))/(INDEX('Step 4 Stage Discharge'!E$26:F$126,MATCH(F246,'Step 4 Stage Discharge'!E$26:E$126,1)+1,1)-INDEX('Step 4 Stage Discharge'!E$26:F$126,MATCH(F246,'Step 4 Stage Discharge'!E$26:E$126,1),1))</f>
        <v>0</v>
      </c>
      <c r="H246" s="149"/>
      <c r="I246" s="149">
        <f>INDEX('Step 4 Stage Discharge'!E$26:M$126,MATCH(F246,'Step 4 Stage Discharge'!E$26:E$126,1),9)+(INDEX('Step 4 Stage Discharge'!E$26:M$126,MATCH('Step 5 Routing'!F246,'Step 4 Stage Discharge'!E$26:E$126,1)+1,9)-INDEX('Step 4 Stage Discharge'!E$26:M$126,MATCH('Step 5 Routing'!F246,'Step 4 Stage Discharge'!E$26:E$126,1),9))*('Step 5 Routing'!F246-INDEX('Step 4 Stage Discharge'!E$26:M$126,MATCH('Step 5 Routing'!F246,'Step 4 Stage Discharge'!E$26:E$126,1),1))/(INDEX('Step 4 Stage Discharge'!E$26:M$126,MATCH('Step 5 Routing'!F246,'Step 4 Stage Discharge'!E$26:E$126,1)+1,1)-INDEX('Step 4 Stage Discharge'!E$26:M$126,MATCH('Step 5 Routing'!F246,'Step 4 Stage Discharge'!E$26:E$126,1),1))</f>
        <v>4.3639431710317386E-3</v>
      </c>
      <c r="J246" s="149"/>
      <c r="K246" s="6">
        <f t="shared" si="16"/>
        <v>0</v>
      </c>
      <c r="L246" s="6">
        <f t="shared" si="17"/>
        <v>0</v>
      </c>
    </row>
    <row r="247" spans="1:12">
      <c r="A247">
        <f t="shared" si="18"/>
        <v>234</v>
      </c>
      <c r="B247" s="136">
        <f>IF(C$5=Data!D$3,'Step 2 Inflow Hydrograph'!H291,IF(C$5=Data!D$4,'Step 2 Inflow Hydrograph'!I291,IF(C$5=Data!D$5,'Step 2 Inflow Hydrograph'!J291,'Step 2 Inflow Hydrograph'!K291)))</f>
        <v>0</v>
      </c>
      <c r="C247" s="127"/>
      <c r="D247" s="6">
        <f t="shared" si="15"/>
        <v>0</v>
      </c>
      <c r="E247" s="6"/>
      <c r="F247" s="6">
        <f t="shared" si="19"/>
        <v>0</v>
      </c>
      <c r="G247" s="149">
        <f>INDEX('Step 4 Stage Discharge'!E$26:F$126,MATCH(F247,'Step 4 Stage Discharge'!E$26:E$126,1),2)+(INDEX('Step 4 Stage Discharge'!E$26:F$126,MATCH(F247,'Step 4 Stage Discharge'!E$26:E$126,1)+1,2)-INDEX('Step 4 Stage Discharge'!E$26:F$126,MATCH(F247,'Step 4 Stage Discharge'!E$26:E$126,1),2))*(F247-INDEX('Step 4 Stage Discharge'!E$26:F$126,MATCH(F247,'Step 4 Stage Discharge'!E$26:E$126,1),1))/(INDEX('Step 4 Stage Discharge'!E$26:F$126,MATCH(F247,'Step 4 Stage Discharge'!E$26:E$126,1)+1,1)-INDEX('Step 4 Stage Discharge'!E$26:F$126,MATCH(F247,'Step 4 Stage Discharge'!E$26:E$126,1),1))</f>
        <v>0</v>
      </c>
      <c r="H247" s="149"/>
      <c r="I247" s="149">
        <f>INDEX('Step 4 Stage Discharge'!E$26:M$126,MATCH(F247,'Step 4 Stage Discharge'!E$26:E$126,1),9)+(INDEX('Step 4 Stage Discharge'!E$26:M$126,MATCH('Step 5 Routing'!F247,'Step 4 Stage Discharge'!E$26:E$126,1)+1,9)-INDEX('Step 4 Stage Discharge'!E$26:M$126,MATCH('Step 5 Routing'!F247,'Step 4 Stage Discharge'!E$26:E$126,1),9))*('Step 5 Routing'!F247-INDEX('Step 4 Stage Discharge'!E$26:M$126,MATCH('Step 5 Routing'!F247,'Step 4 Stage Discharge'!E$26:E$126,1),1))/(INDEX('Step 4 Stage Discharge'!E$26:M$126,MATCH('Step 5 Routing'!F247,'Step 4 Stage Discharge'!E$26:E$126,1)+1,1)-INDEX('Step 4 Stage Discharge'!E$26:M$126,MATCH('Step 5 Routing'!F247,'Step 4 Stage Discharge'!E$26:E$126,1),1))</f>
        <v>4.3639431710317386E-3</v>
      </c>
      <c r="J247" s="149"/>
      <c r="K247" s="6">
        <f t="shared" si="16"/>
        <v>0</v>
      </c>
      <c r="L247" s="6">
        <f t="shared" si="17"/>
        <v>0</v>
      </c>
    </row>
    <row r="248" spans="1:12">
      <c r="A248">
        <f t="shared" si="18"/>
        <v>235</v>
      </c>
      <c r="B248" s="136">
        <f>IF(C$5=Data!D$3,'Step 2 Inflow Hydrograph'!H292,IF(C$5=Data!D$4,'Step 2 Inflow Hydrograph'!I292,IF(C$5=Data!D$5,'Step 2 Inflow Hydrograph'!J292,'Step 2 Inflow Hydrograph'!K292)))</f>
        <v>0</v>
      </c>
      <c r="C248" s="127"/>
      <c r="D248" s="6">
        <f t="shared" si="15"/>
        <v>0</v>
      </c>
      <c r="E248" s="6"/>
      <c r="F248" s="6">
        <f t="shared" si="19"/>
        <v>0</v>
      </c>
      <c r="G248" s="149">
        <f>INDEX('Step 4 Stage Discharge'!E$26:F$126,MATCH(F248,'Step 4 Stage Discharge'!E$26:E$126,1),2)+(INDEX('Step 4 Stage Discharge'!E$26:F$126,MATCH(F248,'Step 4 Stage Discharge'!E$26:E$126,1)+1,2)-INDEX('Step 4 Stage Discharge'!E$26:F$126,MATCH(F248,'Step 4 Stage Discharge'!E$26:E$126,1),2))*(F248-INDEX('Step 4 Stage Discharge'!E$26:F$126,MATCH(F248,'Step 4 Stage Discharge'!E$26:E$126,1),1))/(INDEX('Step 4 Stage Discharge'!E$26:F$126,MATCH(F248,'Step 4 Stage Discharge'!E$26:E$126,1)+1,1)-INDEX('Step 4 Stage Discharge'!E$26:F$126,MATCH(F248,'Step 4 Stage Discharge'!E$26:E$126,1),1))</f>
        <v>0</v>
      </c>
      <c r="H248" s="149"/>
      <c r="I248" s="149">
        <f>INDEX('Step 4 Stage Discharge'!E$26:M$126,MATCH(F248,'Step 4 Stage Discharge'!E$26:E$126,1),9)+(INDEX('Step 4 Stage Discharge'!E$26:M$126,MATCH('Step 5 Routing'!F248,'Step 4 Stage Discharge'!E$26:E$126,1)+1,9)-INDEX('Step 4 Stage Discharge'!E$26:M$126,MATCH('Step 5 Routing'!F248,'Step 4 Stage Discharge'!E$26:E$126,1),9))*('Step 5 Routing'!F248-INDEX('Step 4 Stage Discharge'!E$26:M$126,MATCH('Step 5 Routing'!F248,'Step 4 Stage Discharge'!E$26:E$126,1),1))/(INDEX('Step 4 Stage Discharge'!E$26:M$126,MATCH('Step 5 Routing'!F248,'Step 4 Stage Discharge'!E$26:E$126,1)+1,1)-INDEX('Step 4 Stage Discharge'!E$26:M$126,MATCH('Step 5 Routing'!F248,'Step 4 Stage Discharge'!E$26:E$126,1),1))</f>
        <v>4.3639431710317386E-3</v>
      </c>
      <c r="J248" s="149"/>
      <c r="K248" s="6">
        <f t="shared" si="16"/>
        <v>0</v>
      </c>
      <c r="L248" s="6">
        <f t="shared" si="17"/>
        <v>0</v>
      </c>
    </row>
    <row r="249" spans="1:12">
      <c r="A249">
        <f t="shared" si="18"/>
        <v>236</v>
      </c>
      <c r="B249" s="136">
        <f>IF(C$5=Data!D$3,'Step 2 Inflow Hydrograph'!H293,IF(C$5=Data!D$4,'Step 2 Inflow Hydrograph'!I293,IF(C$5=Data!D$5,'Step 2 Inflow Hydrograph'!J293,'Step 2 Inflow Hydrograph'!K293)))</f>
        <v>0</v>
      </c>
      <c r="C249" s="127"/>
      <c r="D249" s="6">
        <f t="shared" si="15"/>
        <v>0</v>
      </c>
      <c r="E249" s="6"/>
      <c r="F249" s="6">
        <f t="shared" si="19"/>
        <v>0</v>
      </c>
      <c r="G249" s="149">
        <f>INDEX('Step 4 Stage Discharge'!E$26:F$126,MATCH(F249,'Step 4 Stage Discharge'!E$26:E$126,1),2)+(INDEX('Step 4 Stage Discharge'!E$26:F$126,MATCH(F249,'Step 4 Stage Discharge'!E$26:E$126,1)+1,2)-INDEX('Step 4 Stage Discharge'!E$26:F$126,MATCH(F249,'Step 4 Stage Discharge'!E$26:E$126,1),2))*(F249-INDEX('Step 4 Stage Discharge'!E$26:F$126,MATCH(F249,'Step 4 Stage Discharge'!E$26:E$126,1),1))/(INDEX('Step 4 Stage Discharge'!E$26:F$126,MATCH(F249,'Step 4 Stage Discharge'!E$26:E$126,1)+1,1)-INDEX('Step 4 Stage Discharge'!E$26:F$126,MATCH(F249,'Step 4 Stage Discharge'!E$26:E$126,1),1))</f>
        <v>0</v>
      </c>
      <c r="H249" s="149"/>
      <c r="I249" s="149">
        <f>INDEX('Step 4 Stage Discharge'!E$26:M$126,MATCH(F249,'Step 4 Stage Discharge'!E$26:E$126,1),9)+(INDEX('Step 4 Stage Discharge'!E$26:M$126,MATCH('Step 5 Routing'!F249,'Step 4 Stage Discharge'!E$26:E$126,1)+1,9)-INDEX('Step 4 Stage Discharge'!E$26:M$126,MATCH('Step 5 Routing'!F249,'Step 4 Stage Discharge'!E$26:E$126,1),9))*('Step 5 Routing'!F249-INDEX('Step 4 Stage Discharge'!E$26:M$126,MATCH('Step 5 Routing'!F249,'Step 4 Stage Discharge'!E$26:E$126,1),1))/(INDEX('Step 4 Stage Discharge'!E$26:M$126,MATCH('Step 5 Routing'!F249,'Step 4 Stage Discharge'!E$26:E$126,1)+1,1)-INDEX('Step 4 Stage Discharge'!E$26:M$126,MATCH('Step 5 Routing'!F249,'Step 4 Stage Discharge'!E$26:E$126,1),1))</f>
        <v>4.3639431710317386E-3</v>
      </c>
      <c r="J249" s="149"/>
      <c r="K249" s="6">
        <f t="shared" si="16"/>
        <v>0</v>
      </c>
      <c r="L249" s="6">
        <f t="shared" si="17"/>
        <v>0</v>
      </c>
    </row>
    <row r="250" spans="1:12">
      <c r="A250">
        <f t="shared" si="18"/>
        <v>237</v>
      </c>
      <c r="B250" s="136">
        <f>IF(C$5=Data!D$3,'Step 2 Inflow Hydrograph'!H294,IF(C$5=Data!D$4,'Step 2 Inflow Hydrograph'!I294,IF(C$5=Data!D$5,'Step 2 Inflow Hydrograph'!J294,'Step 2 Inflow Hydrograph'!K294)))</f>
        <v>0</v>
      </c>
      <c r="C250" s="127"/>
      <c r="D250" s="6">
        <f t="shared" si="15"/>
        <v>0</v>
      </c>
      <c r="E250" s="6"/>
      <c r="F250" s="6">
        <f t="shared" si="19"/>
        <v>0</v>
      </c>
      <c r="G250" s="149">
        <f>INDEX('Step 4 Stage Discharge'!E$26:F$126,MATCH(F250,'Step 4 Stage Discharge'!E$26:E$126,1),2)+(INDEX('Step 4 Stage Discharge'!E$26:F$126,MATCH(F250,'Step 4 Stage Discharge'!E$26:E$126,1)+1,2)-INDEX('Step 4 Stage Discharge'!E$26:F$126,MATCH(F250,'Step 4 Stage Discharge'!E$26:E$126,1),2))*(F250-INDEX('Step 4 Stage Discharge'!E$26:F$126,MATCH(F250,'Step 4 Stage Discharge'!E$26:E$126,1),1))/(INDEX('Step 4 Stage Discharge'!E$26:F$126,MATCH(F250,'Step 4 Stage Discharge'!E$26:E$126,1)+1,1)-INDEX('Step 4 Stage Discharge'!E$26:F$126,MATCH(F250,'Step 4 Stage Discharge'!E$26:E$126,1),1))</f>
        <v>0</v>
      </c>
      <c r="H250" s="149"/>
      <c r="I250" s="149">
        <f>INDEX('Step 4 Stage Discharge'!E$26:M$126,MATCH(F250,'Step 4 Stage Discharge'!E$26:E$126,1),9)+(INDEX('Step 4 Stage Discharge'!E$26:M$126,MATCH('Step 5 Routing'!F250,'Step 4 Stage Discharge'!E$26:E$126,1)+1,9)-INDEX('Step 4 Stage Discharge'!E$26:M$126,MATCH('Step 5 Routing'!F250,'Step 4 Stage Discharge'!E$26:E$126,1),9))*('Step 5 Routing'!F250-INDEX('Step 4 Stage Discharge'!E$26:M$126,MATCH('Step 5 Routing'!F250,'Step 4 Stage Discharge'!E$26:E$126,1),1))/(INDEX('Step 4 Stage Discharge'!E$26:M$126,MATCH('Step 5 Routing'!F250,'Step 4 Stage Discharge'!E$26:E$126,1)+1,1)-INDEX('Step 4 Stage Discharge'!E$26:M$126,MATCH('Step 5 Routing'!F250,'Step 4 Stage Discharge'!E$26:E$126,1),1))</f>
        <v>4.3639431710317386E-3</v>
      </c>
      <c r="J250" s="149"/>
      <c r="K250" s="6">
        <f t="shared" si="16"/>
        <v>0</v>
      </c>
      <c r="L250" s="6">
        <f t="shared" si="17"/>
        <v>0</v>
      </c>
    </row>
    <row r="251" spans="1:12">
      <c r="A251">
        <f t="shared" si="18"/>
        <v>238</v>
      </c>
      <c r="B251" s="136">
        <f>IF(C$5=Data!D$3,'Step 2 Inflow Hydrograph'!H295,IF(C$5=Data!D$4,'Step 2 Inflow Hydrograph'!I295,IF(C$5=Data!D$5,'Step 2 Inflow Hydrograph'!J295,'Step 2 Inflow Hydrograph'!K295)))</f>
        <v>0</v>
      </c>
      <c r="C251" s="127"/>
      <c r="D251" s="6">
        <f t="shared" si="15"/>
        <v>0</v>
      </c>
      <c r="E251" s="6"/>
      <c r="F251" s="6">
        <f t="shared" si="19"/>
        <v>0</v>
      </c>
      <c r="G251" s="149">
        <f>INDEX('Step 4 Stage Discharge'!E$26:F$126,MATCH(F251,'Step 4 Stage Discharge'!E$26:E$126,1),2)+(INDEX('Step 4 Stage Discharge'!E$26:F$126,MATCH(F251,'Step 4 Stage Discharge'!E$26:E$126,1)+1,2)-INDEX('Step 4 Stage Discharge'!E$26:F$126,MATCH(F251,'Step 4 Stage Discharge'!E$26:E$126,1),2))*(F251-INDEX('Step 4 Stage Discharge'!E$26:F$126,MATCH(F251,'Step 4 Stage Discharge'!E$26:E$126,1),1))/(INDEX('Step 4 Stage Discharge'!E$26:F$126,MATCH(F251,'Step 4 Stage Discharge'!E$26:E$126,1)+1,1)-INDEX('Step 4 Stage Discharge'!E$26:F$126,MATCH(F251,'Step 4 Stage Discharge'!E$26:E$126,1),1))</f>
        <v>0</v>
      </c>
      <c r="H251" s="149"/>
      <c r="I251" s="149">
        <f>INDEX('Step 4 Stage Discharge'!E$26:M$126,MATCH(F251,'Step 4 Stage Discharge'!E$26:E$126,1),9)+(INDEX('Step 4 Stage Discharge'!E$26:M$126,MATCH('Step 5 Routing'!F251,'Step 4 Stage Discharge'!E$26:E$126,1)+1,9)-INDEX('Step 4 Stage Discharge'!E$26:M$126,MATCH('Step 5 Routing'!F251,'Step 4 Stage Discharge'!E$26:E$126,1),9))*('Step 5 Routing'!F251-INDEX('Step 4 Stage Discharge'!E$26:M$126,MATCH('Step 5 Routing'!F251,'Step 4 Stage Discharge'!E$26:E$126,1),1))/(INDEX('Step 4 Stage Discharge'!E$26:M$126,MATCH('Step 5 Routing'!F251,'Step 4 Stage Discharge'!E$26:E$126,1)+1,1)-INDEX('Step 4 Stage Discharge'!E$26:M$126,MATCH('Step 5 Routing'!F251,'Step 4 Stage Discharge'!E$26:E$126,1),1))</f>
        <v>4.3639431710317386E-3</v>
      </c>
      <c r="J251" s="149"/>
      <c r="K251" s="6">
        <f t="shared" si="16"/>
        <v>0</v>
      </c>
      <c r="L251" s="6">
        <f t="shared" si="17"/>
        <v>0</v>
      </c>
    </row>
    <row r="252" spans="1:12">
      <c r="A252">
        <f t="shared" si="18"/>
        <v>239</v>
      </c>
      <c r="B252" s="136">
        <f>IF(C$5=Data!D$3,'Step 2 Inflow Hydrograph'!H296,IF(C$5=Data!D$4,'Step 2 Inflow Hydrograph'!I296,IF(C$5=Data!D$5,'Step 2 Inflow Hydrograph'!J296,'Step 2 Inflow Hydrograph'!K296)))</f>
        <v>0</v>
      </c>
      <c r="C252" s="127"/>
      <c r="D252" s="6">
        <f t="shared" si="15"/>
        <v>0</v>
      </c>
      <c r="E252" s="6"/>
      <c r="F252" s="6">
        <f t="shared" si="19"/>
        <v>0</v>
      </c>
      <c r="G252" s="149">
        <f>INDEX('Step 4 Stage Discharge'!E$26:F$126,MATCH(F252,'Step 4 Stage Discharge'!E$26:E$126,1),2)+(INDEX('Step 4 Stage Discharge'!E$26:F$126,MATCH(F252,'Step 4 Stage Discharge'!E$26:E$126,1)+1,2)-INDEX('Step 4 Stage Discharge'!E$26:F$126,MATCH(F252,'Step 4 Stage Discharge'!E$26:E$126,1),2))*(F252-INDEX('Step 4 Stage Discharge'!E$26:F$126,MATCH(F252,'Step 4 Stage Discharge'!E$26:E$126,1),1))/(INDEX('Step 4 Stage Discharge'!E$26:F$126,MATCH(F252,'Step 4 Stage Discharge'!E$26:E$126,1)+1,1)-INDEX('Step 4 Stage Discharge'!E$26:F$126,MATCH(F252,'Step 4 Stage Discharge'!E$26:E$126,1),1))</f>
        <v>0</v>
      </c>
      <c r="H252" s="149"/>
      <c r="I252" s="149">
        <f>INDEX('Step 4 Stage Discharge'!E$26:M$126,MATCH(F252,'Step 4 Stage Discharge'!E$26:E$126,1),9)+(INDEX('Step 4 Stage Discharge'!E$26:M$126,MATCH('Step 5 Routing'!F252,'Step 4 Stage Discharge'!E$26:E$126,1)+1,9)-INDEX('Step 4 Stage Discharge'!E$26:M$126,MATCH('Step 5 Routing'!F252,'Step 4 Stage Discharge'!E$26:E$126,1),9))*('Step 5 Routing'!F252-INDEX('Step 4 Stage Discharge'!E$26:M$126,MATCH('Step 5 Routing'!F252,'Step 4 Stage Discharge'!E$26:E$126,1),1))/(INDEX('Step 4 Stage Discharge'!E$26:M$126,MATCH('Step 5 Routing'!F252,'Step 4 Stage Discharge'!E$26:E$126,1)+1,1)-INDEX('Step 4 Stage Discharge'!E$26:M$126,MATCH('Step 5 Routing'!F252,'Step 4 Stage Discharge'!E$26:E$126,1),1))</f>
        <v>4.3639431710317386E-3</v>
      </c>
      <c r="J252" s="149"/>
      <c r="K252" s="6">
        <f t="shared" si="16"/>
        <v>0</v>
      </c>
      <c r="L252" s="6">
        <f t="shared" si="17"/>
        <v>0</v>
      </c>
    </row>
    <row r="253" spans="1:12">
      <c r="A253">
        <f t="shared" si="18"/>
        <v>240</v>
      </c>
      <c r="B253" s="136">
        <f>IF(C$5=Data!D$3,'Step 2 Inflow Hydrograph'!H297,IF(C$5=Data!D$4,'Step 2 Inflow Hydrograph'!I297,IF(C$5=Data!D$5,'Step 2 Inflow Hydrograph'!J297,'Step 2 Inflow Hydrograph'!K297)))</f>
        <v>0</v>
      </c>
      <c r="C253" s="127"/>
      <c r="D253" s="6">
        <f t="shared" si="15"/>
        <v>0</v>
      </c>
      <c r="E253" s="6"/>
      <c r="F253" s="6">
        <f t="shared" si="19"/>
        <v>0</v>
      </c>
      <c r="G253" s="149">
        <f>INDEX('Step 4 Stage Discharge'!E$26:F$126,MATCH(F253,'Step 4 Stage Discharge'!E$26:E$126,1),2)+(INDEX('Step 4 Stage Discharge'!E$26:F$126,MATCH(F253,'Step 4 Stage Discharge'!E$26:E$126,1)+1,2)-INDEX('Step 4 Stage Discharge'!E$26:F$126,MATCH(F253,'Step 4 Stage Discharge'!E$26:E$126,1),2))*(F253-INDEX('Step 4 Stage Discharge'!E$26:F$126,MATCH(F253,'Step 4 Stage Discharge'!E$26:E$126,1),1))/(INDEX('Step 4 Stage Discharge'!E$26:F$126,MATCH(F253,'Step 4 Stage Discharge'!E$26:E$126,1)+1,1)-INDEX('Step 4 Stage Discharge'!E$26:F$126,MATCH(F253,'Step 4 Stage Discharge'!E$26:E$126,1),1))</f>
        <v>0</v>
      </c>
      <c r="H253" s="149"/>
      <c r="I253" s="149">
        <f>INDEX('Step 4 Stage Discharge'!E$26:M$126,MATCH(F253,'Step 4 Stage Discharge'!E$26:E$126,1),9)+(INDEX('Step 4 Stage Discharge'!E$26:M$126,MATCH('Step 5 Routing'!F253,'Step 4 Stage Discharge'!E$26:E$126,1)+1,9)-INDEX('Step 4 Stage Discharge'!E$26:M$126,MATCH('Step 5 Routing'!F253,'Step 4 Stage Discharge'!E$26:E$126,1),9))*('Step 5 Routing'!F253-INDEX('Step 4 Stage Discharge'!E$26:M$126,MATCH('Step 5 Routing'!F253,'Step 4 Stage Discharge'!E$26:E$126,1),1))/(INDEX('Step 4 Stage Discharge'!E$26:M$126,MATCH('Step 5 Routing'!F253,'Step 4 Stage Discharge'!E$26:E$126,1)+1,1)-INDEX('Step 4 Stage Discharge'!E$26:M$126,MATCH('Step 5 Routing'!F253,'Step 4 Stage Discharge'!E$26:E$126,1),1))</f>
        <v>4.3639431710317386E-3</v>
      </c>
      <c r="J253" s="149"/>
      <c r="K253" s="6">
        <f t="shared" si="16"/>
        <v>0</v>
      </c>
      <c r="L253" s="6">
        <f t="shared" si="17"/>
        <v>0</v>
      </c>
    </row>
    <row r="254" spans="1:12">
      <c r="A254">
        <f t="shared" si="18"/>
        <v>241</v>
      </c>
      <c r="B254" s="136">
        <f>IF(C$5=Data!D$3,'Step 2 Inflow Hydrograph'!H298,IF(C$5=Data!D$4,'Step 2 Inflow Hydrograph'!I298,IF(C$5=Data!D$5,'Step 2 Inflow Hydrograph'!J298,'Step 2 Inflow Hydrograph'!K298)))</f>
        <v>0</v>
      </c>
      <c r="C254" s="127"/>
      <c r="D254" s="6">
        <f t="shared" si="15"/>
        <v>0</v>
      </c>
      <c r="E254" s="6"/>
      <c r="F254" s="6">
        <f t="shared" si="19"/>
        <v>0</v>
      </c>
      <c r="G254" s="149">
        <f>INDEX('Step 4 Stage Discharge'!E$26:F$126,MATCH(F254,'Step 4 Stage Discharge'!E$26:E$126,1),2)+(INDEX('Step 4 Stage Discharge'!E$26:F$126,MATCH(F254,'Step 4 Stage Discharge'!E$26:E$126,1)+1,2)-INDEX('Step 4 Stage Discharge'!E$26:F$126,MATCH(F254,'Step 4 Stage Discharge'!E$26:E$126,1),2))*(F254-INDEX('Step 4 Stage Discharge'!E$26:F$126,MATCH(F254,'Step 4 Stage Discharge'!E$26:E$126,1),1))/(INDEX('Step 4 Stage Discharge'!E$26:F$126,MATCH(F254,'Step 4 Stage Discharge'!E$26:E$126,1)+1,1)-INDEX('Step 4 Stage Discharge'!E$26:F$126,MATCH(F254,'Step 4 Stage Discharge'!E$26:E$126,1),1))</f>
        <v>0</v>
      </c>
      <c r="H254" s="149"/>
      <c r="I254" s="149">
        <f>INDEX('Step 4 Stage Discharge'!E$26:M$126,MATCH(F254,'Step 4 Stage Discharge'!E$26:E$126,1),9)+(INDEX('Step 4 Stage Discharge'!E$26:M$126,MATCH('Step 5 Routing'!F254,'Step 4 Stage Discharge'!E$26:E$126,1)+1,9)-INDEX('Step 4 Stage Discharge'!E$26:M$126,MATCH('Step 5 Routing'!F254,'Step 4 Stage Discharge'!E$26:E$126,1),9))*('Step 5 Routing'!F254-INDEX('Step 4 Stage Discharge'!E$26:M$126,MATCH('Step 5 Routing'!F254,'Step 4 Stage Discharge'!E$26:E$126,1),1))/(INDEX('Step 4 Stage Discharge'!E$26:M$126,MATCH('Step 5 Routing'!F254,'Step 4 Stage Discharge'!E$26:E$126,1)+1,1)-INDEX('Step 4 Stage Discharge'!E$26:M$126,MATCH('Step 5 Routing'!F254,'Step 4 Stage Discharge'!E$26:E$126,1),1))</f>
        <v>4.3639431710317386E-3</v>
      </c>
      <c r="J254" s="149"/>
      <c r="K254" s="6">
        <f t="shared" si="16"/>
        <v>0</v>
      </c>
      <c r="L254" s="6">
        <f t="shared" si="17"/>
        <v>0</v>
      </c>
    </row>
    <row r="255" spans="1:12">
      <c r="A255">
        <f t="shared" si="18"/>
        <v>242</v>
      </c>
      <c r="B255" s="136">
        <f>IF(C$5=Data!D$3,'Step 2 Inflow Hydrograph'!H299,IF(C$5=Data!D$4,'Step 2 Inflow Hydrograph'!I299,IF(C$5=Data!D$5,'Step 2 Inflow Hydrograph'!J299,'Step 2 Inflow Hydrograph'!K299)))</f>
        <v>0</v>
      </c>
      <c r="C255" s="127"/>
      <c r="D255" s="6">
        <f t="shared" si="15"/>
        <v>0</v>
      </c>
      <c r="E255" s="6"/>
      <c r="F255" s="6">
        <f t="shared" si="19"/>
        <v>0</v>
      </c>
      <c r="G255" s="149">
        <f>INDEX('Step 4 Stage Discharge'!E$26:F$126,MATCH(F255,'Step 4 Stage Discharge'!E$26:E$126,1),2)+(INDEX('Step 4 Stage Discharge'!E$26:F$126,MATCH(F255,'Step 4 Stage Discharge'!E$26:E$126,1)+1,2)-INDEX('Step 4 Stage Discharge'!E$26:F$126,MATCH(F255,'Step 4 Stage Discharge'!E$26:E$126,1),2))*(F255-INDEX('Step 4 Stage Discharge'!E$26:F$126,MATCH(F255,'Step 4 Stage Discharge'!E$26:E$126,1),1))/(INDEX('Step 4 Stage Discharge'!E$26:F$126,MATCH(F255,'Step 4 Stage Discharge'!E$26:E$126,1)+1,1)-INDEX('Step 4 Stage Discharge'!E$26:F$126,MATCH(F255,'Step 4 Stage Discharge'!E$26:E$126,1),1))</f>
        <v>0</v>
      </c>
      <c r="H255" s="149"/>
      <c r="I255" s="149">
        <f>INDEX('Step 4 Stage Discharge'!E$26:M$126,MATCH(F255,'Step 4 Stage Discharge'!E$26:E$126,1),9)+(INDEX('Step 4 Stage Discharge'!E$26:M$126,MATCH('Step 5 Routing'!F255,'Step 4 Stage Discharge'!E$26:E$126,1)+1,9)-INDEX('Step 4 Stage Discharge'!E$26:M$126,MATCH('Step 5 Routing'!F255,'Step 4 Stage Discharge'!E$26:E$126,1),9))*('Step 5 Routing'!F255-INDEX('Step 4 Stage Discharge'!E$26:M$126,MATCH('Step 5 Routing'!F255,'Step 4 Stage Discharge'!E$26:E$126,1),1))/(INDEX('Step 4 Stage Discharge'!E$26:M$126,MATCH('Step 5 Routing'!F255,'Step 4 Stage Discharge'!E$26:E$126,1)+1,1)-INDEX('Step 4 Stage Discharge'!E$26:M$126,MATCH('Step 5 Routing'!F255,'Step 4 Stage Discharge'!E$26:E$126,1),1))</f>
        <v>4.3639431710317386E-3</v>
      </c>
      <c r="J255" s="149"/>
      <c r="K255" s="6">
        <f t="shared" si="16"/>
        <v>0</v>
      </c>
      <c r="L255" s="6">
        <f t="shared" si="17"/>
        <v>0</v>
      </c>
    </row>
    <row r="256" spans="1:12">
      <c r="A256">
        <f t="shared" si="18"/>
        <v>243</v>
      </c>
      <c r="B256" s="136">
        <f>IF(C$5=Data!D$3,'Step 2 Inflow Hydrograph'!H300,IF(C$5=Data!D$4,'Step 2 Inflow Hydrograph'!I300,IF(C$5=Data!D$5,'Step 2 Inflow Hydrograph'!J300,'Step 2 Inflow Hydrograph'!K300)))</f>
        <v>0</v>
      </c>
      <c r="C256" s="127"/>
      <c r="D256" s="6">
        <f t="shared" si="15"/>
        <v>0</v>
      </c>
      <c r="E256" s="6"/>
      <c r="F256" s="6">
        <f t="shared" si="19"/>
        <v>0</v>
      </c>
      <c r="G256" s="149">
        <f>INDEX('Step 4 Stage Discharge'!E$26:F$126,MATCH(F256,'Step 4 Stage Discharge'!E$26:E$126,1),2)+(INDEX('Step 4 Stage Discharge'!E$26:F$126,MATCH(F256,'Step 4 Stage Discharge'!E$26:E$126,1)+1,2)-INDEX('Step 4 Stage Discharge'!E$26:F$126,MATCH(F256,'Step 4 Stage Discharge'!E$26:E$126,1),2))*(F256-INDEX('Step 4 Stage Discharge'!E$26:F$126,MATCH(F256,'Step 4 Stage Discharge'!E$26:E$126,1),1))/(INDEX('Step 4 Stage Discharge'!E$26:F$126,MATCH(F256,'Step 4 Stage Discharge'!E$26:E$126,1)+1,1)-INDEX('Step 4 Stage Discharge'!E$26:F$126,MATCH(F256,'Step 4 Stage Discharge'!E$26:E$126,1),1))</f>
        <v>0</v>
      </c>
      <c r="H256" s="149"/>
      <c r="I256" s="149">
        <f>INDEX('Step 4 Stage Discharge'!E$26:M$126,MATCH(F256,'Step 4 Stage Discharge'!E$26:E$126,1),9)+(INDEX('Step 4 Stage Discharge'!E$26:M$126,MATCH('Step 5 Routing'!F256,'Step 4 Stage Discharge'!E$26:E$126,1)+1,9)-INDEX('Step 4 Stage Discharge'!E$26:M$126,MATCH('Step 5 Routing'!F256,'Step 4 Stage Discharge'!E$26:E$126,1),9))*('Step 5 Routing'!F256-INDEX('Step 4 Stage Discharge'!E$26:M$126,MATCH('Step 5 Routing'!F256,'Step 4 Stage Discharge'!E$26:E$126,1),1))/(INDEX('Step 4 Stage Discharge'!E$26:M$126,MATCH('Step 5 Routing'!F256,'Step 4 Stage Discharge'!E$26:E$126,1)+1,1)-INDEX('Step 4 Stage Discharge'!E$26:M$126,MATCH('Step 5 Routing'!F256,'Step 4 Stage Discharge'!E$26:E$126,1),1))</f>
        <v>4.3639431710317386E-3</v>
      </c>
      <c r="J256" s="149"/>
      <c r="K256" s="6">
        <f t="shared" si="16"/>
        <v>0</v>
      </c>
      <c r="L256" s="6">
        <f t="shared" si="17"/>
        <v>0</v>
      </c>
    </row>
    <row r="257" spans="1:12">
      <c r="A257">
        <f t="shared" si="18"/>
        <v>244</v>
      </c>
      <c r="B257" s="136">
        <f>IF(C$5=Data!D$3,'Step 2 Inflow Hydrograph'!H301,IF(C$5=Data!D$4,'Step 2 Inflow Hydrograph'!I301,IF(C$5=Data!D$5,'Step 2 Inflow Hydrograph'!J301,'Step 2 Inflow Hydrograph'!K301)))</f>
        <v>0</v>
      </c>
      <c r="C257" s="127"/>
      <c r="D257" s="6">
        <f t="shared" si="15"/>
        <v>0</v>
      </c>
      <c r="E257" s="6"/>
      <c r="F257" s="6">
        <f t="shared" si="19"/>
        <v>0</v>
      </c>
      <c r="G257" s="149">
        <f>INDEX('Step 4 Stage Discharge'!E$26:F$126,MATCH(F257,'Step 4 Stage Discharge'!E$26:E$126,1),2)+(INDEX('Step 4 Stage Discharge'!E$26:F$126,MATCH(F257,'Step 4 Stage Discharge'!E$26:E$126,1)+1,2)-INDEX('Step 4 Stage Discharge'!E$26:F$126,MATCH(F257,'Step 4 Stage Discharge'!E$26:E$126,1),2))*(F257-INDEX('Step 4 Stage Discharge'!E$26:F$126,MATCH(F257,'Step 4 Stage Discharge'!E$26:E$126,1),1))/(INDEX('Step 4 Stage Discharge'!E$26:F$126,MATCH(F257,'Step 4 Stage Discharge'!E$26:E$126,1)+1,1)-INDEX('Step 4 Stage Discharge'!E$26:F$126,MATCH(F257,'Step 4 Stage Discharge'!E$26:E$126,1),1))</f>
        <v>0</v>
      </c>
      <c r="H257" s="149"/>
      <c r="I257" s="149">
        <f>INDEX('Step 4 Stage Discharge'!E$26:M$126,MATCH(F257,'Step 4 Stage Discharge'!E$26:E$126,1),9)+(INDEX('Step 4 Stage Discharge'!E$26:M$126,MATCH('Step 5 Routing'!F257,'Step 4 Stage Discharge'!E$26:E$126,1)+1,9)-INDEX('Step 4 Stage Discharge'!E$26:M$126,MATCH('Step 5 Routing'!F257,'Step 4 Stage Discharge'!E$26:E$126,1),9))*('Step 5 Routing'!F257-INDEX('Step 4 Stage Discharge'!E$26:M$126,MATCH('Step 5 Routing'!F257,'Step 4 Stage Discharge'!E$26:E$126,1),1))/(INDEX('Step 4 Stage Discharge'!E$26:M$126,MATCH('Step 5 Routing'!F257,'Step 4 Stage Discharge'!E$26:E$126,1)+1,1)-INDEX('Step 4 Stage Discharge'!E$26:M$126,MATCH('Step 5 Routing'!F257,'Step 4 Stage Discharge'!E$26:E$126,1),1))</f>
        <v>4.3639431710317386E-3</v>
      </c>
      <c r="J257" s="149"/>
      <c r="K257" s="6">
        <f t="shared" si="16"/>
        <v>0</v>
      </c>
      <c r="L257" s="6">
        <f t="shared" si="17"/>
        <v>0</v>
      </c>
    </row>
    <row r="258" spans="1:12">
      <c r="A258">
        <f t="shared" si="18"/>
        <v>245</v>
      </c>
      <c r="B258" s="136">
        <f>IF(C$5=Data!D$3,'Step 2 Inflow Hydrograph'!H302,IF(C$5=Data!D$4,'Step 2 Inflow Hydrograph'!I302,IF(C$5=Data!D$5,'Step 2 Inflow Hydrograph'!J302,'Step 2 Inflow Hydrograph'!K302)))</f>
        <v>0</v>
      </c>
      <c r="C258" s="127"/>
      <c r="D258" s="6">
        <f t="shared" si="15"/>
        <v>0</v>
      </c>
      <c r="E258" s="6"/>
      <c r="F258" s="6">
        <f t="shared" si="19"/>
        <v>0</v>
      </c>
      <c r="G258" s="149">
        <f>INDEX('Step 4 Stage Discharge'!E$26:F$126,MATCH(F258,'Step 4 Stage Discharge'!E$26:E$126,1),2)+(INDEX('Step 4 Stage Discharge'!E$26:F$126,MATCH(F258,'Step 4 Stage Discharge'!E$26:E$126,1)+1,2)-INDEX('Step 4 Stage Discharge'!E$26:F$126,MATCH(F258,'Step 4 Stage Discharge'!E$26:E$126,1),2))*(F258-INDEX('Step 4 Stage Discharge'!E$26:F$126,MATCH(F258,'Step 4 Stage Discharge'!E$26:E$126,1),1))/(INDEX('Step 4 Stage Discharge'!E$26:F$126,MATCH(F258,'Step 4 Stage Discharge'!E$26:E$126,1)+1,1)-INDEX('Step 4 Stage Discharge'!E$26:F$126,MATCH(F258,'Step 4 Stage Discharge'!E$26:E$126,1),1))</f>
        <v>0</v>
      </c>
      <c r="H258" s="149"/>
      <c r="I258" s="149">
        <f>INDEX('Step 4 Stage Discharge'!E$26:M$126,MATCH(F258,'Step 4 Stage Discharge'!E$26:E$126,1),9)+(INDEX('Step 4 Stage Discharge'!E$26:M$126,MATCH('Step 5 Routing'!F258,'Step 4 Stage Discharge'!E$26:E$126,1)+1,9)-INDEX('Step 4 Stage Discharge'!E$26:M$126,MATCH('Step 5 Routing'!F258,'Step 4 Stage Discharge'!E$26:E$126,1),9))*('Step 5 Routing'!F258-INDEX('Step 4 Stage Discharge'!E$26:M$126,MATCH('Step 5 Routing'!F258,'Step 4 Stage Discharge'!E$26:E$126,1),1))/(INDEX('Step 4 Stage Discharge'!E$26:M$126,MATCH('Step 5 Routing'!F258,'Step 4 Stage Discharge'!E$26:E$126,1)+1,1)-INDEX('Step 4 Stage Discharge'!E$26:M$126,MATCH('Step 5 Routing'!F258,'Step 4 Stage Discharge'!E$26:E$126,1),1))</f>
        <v>4.3639431710317386E-3</v>
      </c>
      <c r="J258" s="149"/>
      <c r="K258" s="6">
        <f t="shared" si="16"/>
        <v>0</v>
      </c>
      <c r="L258" s="6">
        <f t="shared" si="17"/>
        <v>0</v>
      </c>
    </row>
    <row r="259" spans="1:12">
      <c r="A259">
        <f t="shared" si="18"/>
        <v>246</v>
      </c>
      <c r="B259" s="136">
        <f>IF(C$5=Data!D$3,'Step 2 Inflow Hydrograph'!H303,IF(C$5=Data!D$4,'Step 2 Inflow Hydrograph'!I303,IF(C$5=Data!D$5,'Step 2 Inflow Hydrograph'!J303,'Step 2 Inflow Hydrograph'!K303)))</f>
        <v>0</v>
      </c>
      <c r="C259" s="127"/>
      <c r="D259" s="6">
        <f t="shared" si="15"/>
        <v>0</v>
      </c>
      <c r="E259" s="6"/>
      <c r="F259" s="6">
        <f t="shared" si="19"/>
        <v>0</v>
      </c>
      <c r="G259" s="149">
        <f>INDEX('Step 4 Stage Discharge'!E$26:F$126,MATCH(F259,'Step 4 Stage Discharge'!E$26:E$126,1),2)+(INDEX('Step 4 Stage Discharge'!E$26:F$126,MATCH(F259,'Step 4 Stage Discharge'!E$26:E$126,1)+1,2)-INDEX('Step 4 Stage Discharge'!E$26:F$126,MATCH(F259,'Step 4 Stage Discharge'!E$26:E$126,1),2))*(F259-INDEX('Step 4 Stage Discharge'!E$26:F$126,MATCH(F259,'Step 4 Stage Discharge'!E$26:E$126,1),1))/(INDEX('Step 4 Stage Discharge'!E$26:F$126,MATCH(F259,'Step 4 Stage Discharge'!E$26:E$126,1)+1,1)-INDEX('Step 4 Stage Discharge'!E$26:F$126,MATCH(F259,'Step 4 Stage Discharge'!E$26:E$126,1),1))</f>
        <v>0</v>
      </c>
      <c r="H259" s="149"/>
      <c r="I259" s="149">
        <f>INDEX('Step 4 Stage Discharge'!E$26:M$126,MATCH(F259,'Step 4 Stage Discharge'!E$26:E$126,1),9)+(INDEX('Step 4 Stage Discharge'!E$26:M$126,MATCH('Step 5 Routing'!F259,'Step 4 Stage Discharge'!E$26:E$126,1)+1,9)-INDEX('Step 4 Stage Discharge'!E$26:M$126,MATCH('Step 5 Routing'!F259,'Step 4 Stage Discharge'!E$26:E$126,1),9))*('Step 5 Routing'!F259-INDEX('Step 4 Stage Discharge'!E$26:M$126,MATCH('Step 5 Routing'!F259,'Step 4 Stage Discharge'!E$26:E$126,1),1))/(INDEX('Step 4 Stage Discharge'!E$26:M$126,MATCH('Step 5 Routing'!F259,'Step 4 Stage Discharge'!E$26:E$126,1)+1,1)-INDEX('Step 4 Stage Discharge'!E$26:M$126,MATCH('Step 5 Routing'!F259,'Step 4 Stage Discharge'!E$26:E$126,1),1))</f>
        <v>4.3639431710317386E-3</v>
      </c>
      <c r="J259" s="149"/>
      <c r="K259" s="6">
        <f t="shared" si="16"/>
        <v>0</v>
      </c>
      <c r="L259" s="6">
        <f t="shared" si="17"/>
        <v>0</v>
      </c>
    </row>
    <row r="260" spans="1:12">
      <c r="A260">
        <f t="shared" si="18"/>
        <v>247</v>
      </c>
      <c r="B260" s="136">
        <f>IF(C$5=Data!D$3,'Step 2 Inflow Hydrograph'!H304,IF(C$5=Data!D$4,'Step 2 Inflow Hydrograph'!I304,IF(C$5=Data!D$5,'Step 2 Inflow Hydrograph'!J304,'Step 2 Inflow Hydrograph'!K304)))</f>
        <v>0</v>
      </c>
      <c r="C260" s="127"/>
      <c r="D260" s="6">
        <f t="shared" si="15"/>
        <v>0</v>
      </c>
      <c r="E260" s="6"/>
      <c r="F260" s="6">
        <f t="shared" si="19"/>
        <v>0</v>
      </c>
      <c r="G260" s="149">
        <f>INDEX('Step 4 Stage Discharge'!E$26:F$126,MATCH(F260,'Step 4 Stage Discharge'!E$26:E$126,1),2)+(INDEX('Step 4 Stage Discharge'!E$26:F$126,MATCH(F260,'Step 4 Stage Discharge'!E$26:E$126,1)+1,2)-INDEX('Step 4 Stage Discharge'!E$26:F$126,MATCH(F260,'Step 4 Stage Discharge'!E$26:E$126,1),2))*(F260-INDEX('Step 4 Stage Discharge'!E$26:F$126,MATCH(F260,'Step 4 Stage Discharge'!E$26:E$126,1),1))/(INDEX('Step 4 Stage Discharge'!E$26:F$126,MATCH(F260,'Step 4 Stage Discharge'!E$26:E$126,1)+1,1)-INDEX('Step 4 Stage Discharge'!E$26:F$126,MATCH(F260,'Step 4 Stage Discharge'!E$26:E$126,1),1))</f>
        <v>0</v>
      </c>
      <c r="H260" s="149"/>
      <c r="I260" s="149">
        <f>INDEX('Step 4 Stage Discharge'!E$26:M$126,MATCH(F260,'Step 4 Stage Discharge'!E$26:E$126,1),9)+(INDEX('Step 4 Stage Discharge'!E$26:M$126,MATCH('Step 5 Routing'!F260,'Step 4 Stage Discharge'!E$26:E$126,1)+1,9)-INDEX('Step 4 Stage Discharge'!E$26:M$126,MATCH('Step 5 Routing'!F260,'Step 4 Stage Discharge'!E$26:E$126,1),9))*('Step 5 Routing'!F260-INDEX('Step 4 Stage Discharge'!E$26:M$126,MATCH('Step 5 Routing'!F260,'Step 4 Stage Discharge'!E$26:E$126,1),1))/(INDEX('Step 4 Stage Discharge'!E$26:M$126,MATCH('Step 5 Routing'!F260,'Step 4 Stage Discharge'!E$26:E$126,1)+1,1)-INDEX('Step 4 Stage Discharge'!E$26:M$126,MATCH('Step 5 Routing'!F260,'Step 4 Stage Discharge'!E$26:E$126,1),1))</f>
        <v>4.3639431710317386E-3</v>
      </c>
      <c r="J260" s="149"/>
      <c r="K260" s="6">
        <f t="shared" si="16"/>
        <v>0</v>
      </c>
      <c r="L260" s="6">
        <f t="shared" si="17"/>
        <v>0</v>
      </c>
    </row>
    <row r="261" spans="1:12">
      <c r="A261">
        <f t="shared" si="18"/>
        <v>248</v>
      </c>
      <c r="B261" s="136">
        <f>IF(C$5=Data!D$3,'Step 2 Inflow Hydrograph'!H305,IF(C$5=Data!D$4,'Step 2 Inflow Hydrograph'!I305,IF(C$5=Data!D$5,'Step 2 Inflow Hydrograph'!J305,'Step 2 Inflow Hydrograph'!K305)))</f>
        <v>0</v>
      </c>
      <c r="C261" s="127"/>
      <c r="D261" s="6">
        <f t="shared" si="15"/>
        <v>0</v>
      </c>
      <c r="E261" s="6"/>
      <c r="F261" s="6">
        <f t="shared" si="19"/>
        <v>0</v>
      </c>
      <c r="G261" s="149">
        <f>INDEX('Step 4 Stage Discharge'!E$26:F$126,MATCH(F261,'Step 4 Stage Discharge'!E$26:E$126,1),2)+(INDEX('Step 4 Stage Discharge'!E$26:F$126,MATCH(F261,'Step 4 Stage Discharge'!E$26:E$126,1)+1,2)-INDEX('Step 4 Stage Discharge'!E$26:F$126,MATCH(F261,'Step 4 Stage Discharge'!E$26:E$126,1),2))*(F261-INDEX('Step 4 Stage Discharge'!E$26:F$126,MATCH(F261,'Step 4 Stage Discharge'!E$26:E$126,1),1))/(INDEX('Step 4 Stage Discharge'!E$26:F$126,MATCH(F261,'Step 4 Stage Discharge'!E$26:E$126,1)+1,1)-INDEX('Step 4 Stage Discharge'!E$26:F$126,MATCH(F261,'Step 4 Stage Discharge'!E$26:E$126,1),1))</f>
        <v>0</v>
      </c>
      <c r="H261" s="149"/>
      <c r="I261" s="149">
        <f>INDEX('Step 4 Stage Discharge'!E$26:M$126,MATCH(F261,'Step 4 Stage Discharge'!E$26:E$126,1),9)+(INDEX('Step 4 Stage Discharge'!E$26:M$126,MATCH('Step 5 Routing'!F261,'Step 4 Stage Discharge'!E$26:E$126,1)+1,9)-INDEX('Step 4 Stage Discharge'!E$26:M$126,MATCH('Step 5 Routing'!F261,'Step 4 Stage Discharge'!E$26:E$126,1),9))*('Step 5 Routing'!F261-INDEX('Step 4 Stage Discharge'!E$26:M$126,MATCH('Step 5 Routing'!F261,'Step 4 Stage Discharge'!E$26:E$126,1),1))/(INDEX('Step 4 Stage Discharge'!E$26:M$126,MATCH('Step 5 Routing'!F261,'Step 4 Stage Discharge'!E$26:E$126,1)+1,1)-INDEX('Step 4 Stage Discharge'!E$26:M$126,MATCH('Step 5 Routing'!F261,'Step 4 Stage Discharge'!E$26:E$126,1),1))</f>
        <v>4.3639431710317386E-3</v>
      </c>
      <c r="J261" s="149"/>
      <c r="K261" s="6">
        <f t="shared" si="16"/>
        <v>0</v>
      </c>
      <c r="L261" s="6">
        <f t="shared" si="17"/>
        <v>0</v>
      </c>
    </row>
    <row r="262" spans="1:12">
      <c r="A262">
        <f t="shared" si="18"/>
        <v>249</v>
      </c>
      <c r="B262" s="136">
        <f>IF(C$5=Data!D$3,'Step 2 Inflow Hydrograph'!H306,IF(C$5=Data!D$4,'Step 2 Inflow Hydrograph'!I306,IF(C$5=Data!D$5,'Step 2 Inflow Hydrograph'!J306,'Step 2 Inflow Hydrograph'!K306)))</f>
        <v>0</v>
      </c>
      <c r="C262" s="127"/>
      <c r="D262" s="6">
        <f t="shared" si="15"/>
        <v>0</v>
      </c>
      <c r="E262" s="6"/>
      <c r="F262" s="6">
        <f t="shared" si="19"/>
        <v>0</v>
      </c>
      <c r="G262" s="149">
        <f>INDEX('Step 4 Stage Discharge'!E$26:F$126,MATCH(F262,'Step 4 Stage Discharge'!E$26:E$126,1),2)+(INDEX('Step 4 Stage Discharge'!E$26:F$126,MATCH(F262,'Step 4 Stage Discharge'!E$26:E$126,1)+1,2)-INDEX('Step 4 Stage Discharge'!E$26:F$126,MATCH(F262,'Step 4 Stage Discharge'!E$26:E$126,1),2))*(F262-INDEX('Step 4 Stage Discharge'!E$26:F$126,MATCH(F262,'Step 4 Stage Discharge'!E$26:E$126,1),1))/(INDEX('Step 4 Stage Discharge'!E$26:F$126,MATCH(F262,'Step 4 Stage Discharge'!E$26:E$126,1)+1,1)-INDEX('Step 4 Stage Discharge'!E$26:F$126,MATCH(F262,'Step 4 Stage Discharge'!E$26:E$126,1),1))</f>
        <v>0</v>
      </c>
      <c r="H262" s="149"/>
      <c r="I262" s="149">
        <f>INDEX('Step 4 Stage Discharge'!E$26:M$126,MATCH(F262,'Step 4 Stage Discharge'!E$26:E$126,1),9)+(INDEX('Step 4 Stage Discharge'!E$26:M$126,MATCH('Step 5 Routing'!F262,'Step 4 Stage Discharge'!E$26:E$126,1)+1,9)-INDEX('Step 4 Stage Discharge'!E$26:M$126,MATCH('Step 5 Routing'!F262,'Step 4 Stage Discharge'!E$26:E$126,1),9))*('Step 5 Routing'!F262-INDEX('Step 4 Stage Discharge'!E$26:M$126,MATCH('Step 5 Routing'!F262,'Step 4 Stage Discharge'!E$26:E$126,1),1))/(INDEX('Step 4 Stage Discharge'!E$26:M$126,MATCH('Step 5 Routing'!F262,'Step 4 Stage Discharge'!E$26:E$126,1)+1,1)-INDEX('Step 4 Stage Discharge'!E$26:M$126,MATCH('Step 5 Routing'!F262,'Step 4 Stage Discharge'!E$26:E$126,1),1))</f>
        <v>4.3639431710317386E-3</v>
      </c>
      <c r="J262" s="149"/>
      <c r="K262" s="6">
        <f t="shared" si="16"/>
        <v>0</v>
      </c>
      <c r="L262" s="6">
        <f t="shared" si="17"/>
        <v>0</v>
      </c>
    </row>
    <row r="263" spans="1:12">
      <c r="A263">
        <f t="shared" si="18"/>
        <v>250</v>
      </c>
      <c r="B263" s="136">
        <f>IF(C$5=Data!D$3,'Step 2 Inflow Hydrograph'!H307,IF(C$5=Data!D$4,'Step 2 Inflow Hydrograph'!I307,IF(C$5=Data!D$5,'Step 2 Inflow Hydrograph'!J307,'Step 2 Inflow Hydrograph'!K307)))</f>
        <v>0</v>
      </c>
      <c r="C263" s="127"/>
      <c r="D263" s="6">
        <f t="shared" si="15"/>
        <v>0</v>
      </c>
      <c r="E263" s="6"/>
      <c r="F263" s="6">
        <f t="shared" si="19"/>
        <v>0</v>
      </c>
      <c r="G263" s="149">
        <f>INDEX('Step 4 Stage Discharge'!E$26:F$126,MATCH(F263,'Step 4 Stage Discharge'!E$26:E$126,1),2)+(INDEX('Step 4 Stage Discharge'!E$26:F$126,MATCH(F263,'Step 4 Stage Discharge'!E$26:E$126,1)+1,2)-INDEX('Step 4 Stage Discharge'!E$26:F$126,MATCH(F263,'Step 4 Stage Discharge'!E$26:E$126,1),2))*(F263-INDEX('Step 4 Stage Discharge'!E$26:F$126,MATCH(F263,'Step 4 Stage Discharge'!E$26:E$126,1),1))/(INDEX('Step 4 Stage Discharge'!E$26:F$126,MATCH(F263,'Step 4 Stage Discharge'!E$26:E$126,1)+1,1)-INDEX('Step 4 Stage Discharge'!E$26:F$126,MATCH(F263,'Step 4 Stage Discharge'!E$26:E$126,1),1))</f>
        <v>0</v>
      </c>
      <c r="H263" s="149"/>
      <c r="I263" s="149">
        <f>INDEX('Step 4 Stage Discharge'!E$26:M$126,MATCH(F263,'Step 4 Stage Discharge'!E$26:E$126,1),9)+(INDEX('Step 4 Stage Discharge'!E$26:M$126,MATCH('Step 5 Routing'!F263,'Step 4 Stage Discharge'!E$26:E$126,1)+1,9)-INDEX('Step 4 Stage Discharge'!E$26:M$126,MATCH('Step 5 Routing'!F263,'Step 4 Stage Discharge'!E$26:E$126,1),9))*('Step 5 Routing'!F263-INDEX('Step 4 Stage Discharge'!E$26:M$126,MATCH('Step 5 Routing'!F263,'Step 4 Stage Discharge'!E$26:E$126,1),1))/(INDEX('Step 4 Stage Discharge'!E$26:M$126,MATCH('Step 5 Routing'!F263,'Step 4 Stage Discharge'!E$26:E$126,1)+1,1)-INDEX('Step 4 Stage Discharge'!E$26:M$126,MATCH('Step 5 Routing'!F263,'Step 4 Stage Discharge'!E$26:E$126,1),1))</f>
        <v>4.3639431710317386E-3</v>
      </c>
      <c r="J263" s="149"/>
      <c r="K263" s="6">
        <f t="shared" si="16"/>
        <v>0</v>
      </c>
      <c r="L263" s="6">
        <f t="shared" si="17"/>
        <v>0</v>
      </c>
    </row>
    <row r="264" spans="1:12">
      <c r="A264">
        <f t="shared" si="18"/>
        <v>251</v>
      </c>
      <c r="B264" s="136">
        <f>IF(C$5=Data!D$3,'Step 2 Inflow Hydrograph'!H308,IF(C$5=Data!D$4,'Step 2 Inflow Hydrograph'!I308,IF(C$5=Data!D$5,'Step 2 Inflow Hydrograph'!J308,'Step 2 Inflow Hydrograph'!K308)))</f>
        <v>0</v>
      </c>
      <c r="C264" s="127"/>
      <c r="D264" s="6">
        <f t="shared" si="15"/>
        <v>0</v>
      </c>
      <c r="E264" s="6"/>
      <c r="F264" s="6">
        <f t="shared" si="19"/>
        <v>0</v>
      </c>
      <c r="G264" s="149">
        <f>INDEX('Step 4 Stage Discharge'!E$26:F$126,MATCH(F264,'Step 4 Stage Discharge'!E$26:E$126,1),2)+(INDEX('Step 4 Stage Discharge'!E$26:F$126,MATCH(F264,'Step 4 Stage Discharge'!E$26:E$126,1)+1,2)-INDEX('Step 4 Stage Discharge'!E$26:F$126,MATCH(F264,'Step 4 Stage Discharge'!E$26:E$126,1),2))*(F264-INDEX('Step 4 Stage Discharge'!E$26:F$126,MATCH(F264,'Step 4 Stage Discharge'!E$26:E$126,1),1))/(INDEX('Step 4 Stage Discharge'!E$26:F$126,MATCH(F264,'Step 4 Stage Discharge'!E$26:E$126,1)+1,1)-INDEX('Step 4 Stage Discharge'!E$26:F$126,MATCH(F264,'Step 4 Stage Discharge'!E$26:E$126,1),1))</f>
        <v>0</v>
      </c>
      <c r="H264" s="149"/>
      <c r="I264" s="149">
        <f>INDEX('Step 4 Stage Discharge'!E$26:M$126,MATCH(F264,'Step 4 Stage Discharge'!E$26:E$126,1),9)+(INDEX('Step 4 Stage Discharge'!E$26:M$126,MATCH('Step 5 Routing'!F264,'Step 4 Stage Discharge'!E$26:E$126,1)+1,9)-INDEX('Step 4 Stage Discharge'!E$26:M$126,MATCH('Step 5 Routing'!F264,'Step 4 Stage Discharge'!E$26:E$126,1),9))*('Step 5 Routing'!F264-INDEX('Step 4 Stage Discharge'!E$26:M$126,MATCH('Step 5 Routing'!F264,'Step 4 Stage Discharge'!E$26:E$126,1),1))/(INDEX('Step 4 Stage Discharge'!E$26:M$126,MATCH('Step 5 Routing'!F264,'Step 4 Stage Discharge'!E$26:E$126,1)+1,1)-INDEX('Step 4 Stage Discharge'!E$26:M$126,MATCH('Step 5 Routing'!F264,'Step 4 Stage Discharge'!E$26:E$126,1),1))</f>
        <v>4.3639431710317386E-3</v>
      </c>
      <c r="J264" s="149"/>
      <c r="K264" s="6">
        <f t="shared" si="16"/>
        <v>0</v>
      </c>
      <c r="L264" s="6">
        <f t="shared" si="17"/>
        <v>0</v>
      </c>
    </row>
    <row r="265" spans="1:12">
      <c r="A265">
        <f t="shared" si="18"/>
        <v>252</v>
      </c>
      <c r="B265" s="136">
        <f>IF(C$5=Data!D$3,'Step 2 Inflow Hydrograph'!H309,IF(C$5=Data!D$4,'Step 2 Inflow Hydrograph'!I309,IF(C$5=Data!D$5,'Step 2 Inflow Hydrograph'!J309,'Step 2 Inflow Hydrograph'!K309)))</f>
        <v>0</v>
      </c>
      <c r="C265" s="127"/>
      <c r="D265" s="6">
        <f t="shared" si="15"/>
        <v>0</v>
      </c>
      <c r="E265" s="6"/>
      <c r="F265" s="6">
        <f t="shared" si="19"/>
        <v>0</v>
      </c>
      <c r="G265" s="149">
        <f>INDEX('Step 4 Stage Discharge'!E$26:F$126,MATCH(F265,'Step 4 Stage Discharge'!E$26:E$126,1),2)+(INDEX('Step 4 Stage Discharge'!E$26:F$126,MATCH(F265,'Step 4 Stage Discharge'!E$26:E$126,1)+1,2)-INDEX('Step 4 Stage Discharge'!E$26:F$126,MATCH(F265,'Step 4 Stage Discharge'!E$26:E$126,1),2))*(F265-INDEX('Step 4 Stage Discharge'!E$26:F$126,MATCH(F265,'Step 4 Stage Discharge'!E$26:E$126,1),1))/(INDEX('Step 4 Stage Discharge'!E$26:F$126,MATCH(F265,'Step 4 Stage Discharge'!E$26:E$126,1)+1,1)-INDEX('Step 4 Stage Discharge'!E$26:F$126,MATCH(F265,'Step 4 Stage Discharge'!E$26:E$126,1),1))</f>
        <v>0</v>
      </c>
      <c r="H265" s="149"/>
      <c r="I265" s="149">
        <f>INDEX('Step 4 Stage Discharge'!E$26:M$126,MATCH(F265,'Step 4 Stage Discharge'!E$26:E$126,1),9)+(INDEX('Step 4 Stage Discharge'!E$26:M$126,MATCH('Step 5 Routing'!F265,'Step 4 Stage Discharge'!E$26:E$126,1)+1,9)-INDEX('Step 4 Stage Discharge'!E$26:M$126,MATCH('Step 5 Routing'!F265,'Step 4 Stage Discharge'!E$26:E$126,1),9))*('Step 5 Routing'!F265-INDEX('Step 4 Stage Discharge'!E$26:M$126,MATCH('Step 5 Routing'!F265,'Step 4 Stage Discharge'!E$26:E$126,1),1))/(INDEX('Step 4 Stage Discharge'!E$26:M$126,MATCH('Step 5 Routing'!F265,'Step 4 Stage Discharge'!E$26:E$126,1)+1,1)-INDEX('Step 4 Stage Discharge'!E$26:M$126,MATCH('Step 5 Routing'!F265,'Step 4 Stage Discharge'!E$26:E$126,1),1))</f>
        <v>4.3639431710317386E-3</v>
      </c>
      <c r="J265" s="149"/>
      <c r="K265" s="6">
        <f t="shared" si="16"/>
        <v>0</v>
      </c>
      <c r="L265" s="6">
        <f t="shared" si="17"/>
        <v>0</v>
      </c>
    </row>
    <row r="266" spans="1:12">
      <c r="A266">
        <f t="shared" si="18"/>
        <v>253</v>
      </c>
      <c r="B266" s="136">
        <f>IF(C$5=Data!D$3,'Step 2 Inflow Hydrograph'!H310,IF(C$5=Data!D$4,'Step 2 Inflow Hydrograph'!I310,IF(C$5=Data!D$5,'Step 2 Inflow Hydrograph'!J310,'Step 2 Inflow Hydrograph'!K310)))</f>
        <v>0</v>
      </c>
      <c r="C266" s="127"/>
      <c r="D266" s="6">
        <f t="shared" si="15"/>
        <v>0</v>
      </c>
      <c r="E266" s="6"/>
      <c r="F266" s="6">
        <f t="shared" si="19"/>
        <v>0</v>
      </c>
      <c r="G266" s="149">
        <f>INDEX('Step 4 Stage Discharge'!E$26:F$126,MATCH(F266,'Step 4 Stage Discharge'!E$26:E$126,1),2)+(INDEX('Step 4 Stage Discharge'!E$26:F$126,MATCH(F266,'Step 4 Stage Discharge'!E$26:E$126,1)+1,2)-INDEX('Step 4 Stage Discharge'!E$26:F$126,MATCH(F266,'Step 4 Stage Discharge'!E$26:E$126,1),2))*(F266-INDEX('Step 4 Stage Discharge'!E$26:F$126,MATCH(F266,'Step 4 Stage Discharge'!E$26:E$126,1),1))/(INDEX('Step 4 Stage Discharge'!E$26:F$126,MATCH(F266,'Step 4 Stage Discharge'!E$26:E$126,1)+1,1)-INDEX('Step 4 Stage Discharge'!E$26:F$126,MATCH(F266,'Step 4 Stage Discharge'!E$26:E$126,1),1))</f>
        <v>0</v>
      </c>
      <c r="H266" s="149"/>
      <c r="I266" s="149">
        <f>INDEX('Step 4 Stage Discharge'!E$26:M$126,MATCH(F266,'Step 4 Stage Discharge'!E$26:E$126,1),9)+(INDEX('Step 4 Stage Discharge'!E$26:M$126,MATCH('Step 5 Routing'!F266,'Step 4 Stage Discharge'!E$26:E$126,1)+1,9)-INDEX('Step 4 Stage Discharge'!E$26:M$126,MATCH('Step 5 Routing'!F266,'Step 4 Stage Discharge'!E$26:E$126,1),9))*('Step 5 Routing'!F266-INDEX('Step 4 Stage Discharge'!E$26:M$126,MATCH('Step 5 Routing'!F266,'Step 4 Stage Discharge'!E$26:E$126,1),1))/(INDEX('Step 4 Stage Discharge'!E$26:M$126,MATCH('Step 5 Routing'!F266,'Step 4 Stage Discharge'!E$26:E$126,1)+1,1)-INDEX('Step 4 Stage Discharge'!E$26:M$126,MATCH('Step 5 Routing'!F266,'Step 4 Stage Discharge'!E$26:E$126,1),1))</f>
        <v>4.3639431710317386E-3</v>
      </c>
      <c r="J266" s="149"/>
      <c r="K266" s="6">
        <f t="shared" si="16"/>
        <v>0</v>
      </c>
      <c r="L266" s="6">
        <f t="shared" si="17"/>
        <v>0</v>
      </c>
    </row>
    <row r="267" spans="1:12">
      <c r="A267">
        <f t="shared" si="18"/>
        <v>254</v>
      </c>
      <c r="B267" s="136">
        <f>IF(C$5=Data!D$3,'Step 2 Inflow Hydrograph'!H311,IF(C$5=Data!D$4,'Step 2 Inflow Hydrograph'!I311,IF(C$5=Data!D$5,'Step 2 Inflow Hydrograph'!J311,'Step 2 Inflow Hydrograph'!K311)))</f>
        <v>0</v>
      </c>
      <c r="C267" s="127"/>
      <c r="D267" s="6">
        <f t="shared" si="15"/>
        <v>0</v>
      </c>
      <c r="E267" s="6"/>
      <c r="F267" s="6">
        <f t="shared" si="19"/>
        <v>0</v>
      </c>
      <c r="G267" s="149">
        <f>INDEX('Step 4 Stage Discharge'!E$26:F$126,MATCH(F267,'Step 4 Stage Discharge'!E$26:E$126,1),2)+(INDEX('Step 4 Stage Discharge'!E$26:F$126,MATCH(F267,'Step 4 Stage Discharge'!E$26:E$126,1)+1,2)-INDEX('Step 4 Stage Discharge'!E$26:F$126,MATCH(F267,'Step 4 Stage Discharge'!E$26:E$126,1),2))*(F267-INDEX('Step 4 Stage Discharge'!E$26:F$126,MATCH(F267,'Step 4 Stage Discharge'!E$26:E$126,1),1))/(INDEX('Step 4 Stage Discharge'!E$26:F$126,MATCH(F267,'Step 4 Stage Discharge'!E$26:E$126,1)+1,1)-INDEX('Step 4 Stage Discharge'!E$26:F$126,MATCH(F267,'Step 4 Stage Discharge'!E$26:E$126,1),1))</f>
        <v>0</v>
      </c>
      <c r="H267" s="149"/>
      <c r="I267" s="149">
        <f>INDEX('Step 4 Stage Discharge'!E$26:M$126,MATCH(F267,'Step 4 Stage Discharge'!E$26:E$126,1),9)+(INDEX('Step 4 Stage Discharge'!E$26:M$126,MATCH('Step 5 Routing'!F267,'Step 4 Stage Discharge'!E$26:E$126,1)+1,9)-INDEX('Step 4 Stage Discharge'!E$26:M$126,MATCH('Step 5 Routing'!F267,'Step 4 Stage Discharge'!E$26:E$126,1),9))*('Step 5 Routing'!F267-INDEX('Step 4 Stage Discharge'!E$26:M$126,MATCH('Step 5 Routing'!F267,'Step 4 Stage Discharge'!E$26:E$126,1),1))/(INDEX('Step 4 Stage Discharge'!E$26:M$126,MATCH('Step 5 Routing'!F267,'Step 4 Stage Discharge'!E$26:E$126,1)+1,1)-INDEX('Step 4 Stage Discharge'!E$26:M$126,MATCH('Step 5 Routing'!F267,'Step 4 Stage Discharge'!E$26:E$126,1),1))</f>
        <v>4.3639431710317386E-3</v>
      </c>
      <c r="J267" s="149"/>
      <c r="K267" s="6">
        <f t="shared" si="16"/>
        <v>0</v>
      </c>
      <c r="L267" s="6">
        <f t="shared" si="17"/>
        <v>0</v>
      </c>
    </row>
    <row r="268" spans="1:12">
      <c r="A268">
        <f t="shared" si="18"/>
        <v>255</v>
      </c>
      <c r="B268" s="136">
        <f>IF(C$5=Data!D$3,'Step 2 Inflow Hydrograph'!H312,IF(C$5=Data!D$4,'Step 2 Inflow Hydrograph'!I312,IF(C$5=Data!D$5,'Step 2 Inflow Hydrograph'!J312,'Step 2 Inflow Hydrograph'!K312)))</f>
        <v>0</v>
      </c>
      <c r="C268" s="127"/>
      <c r="D268" s="6">
        <f t="shared" si="15"/>
        <v>0</v>
      </c>
      <c r="E268" s="6"/>
      <c r="F268" s="6">
        <f t="shared" si="19"/>
        <v>0</v>
      </c>
      <c r="G268" s="149">
        <f>INDEX('Step 4 Stage Discharge'!E$26:F$126,MATCH(F268,'Step 4 Stage Discharge'!E$26:E$126,1),2)+(INDEX('Step 4 Stage Discharge'!E$26:F$126,MATCH(F268,'Step 4 Stage Discharge'!E$26:E$126,1)+1,2)-INDEX('Step 4 Stage Discharge'!E$26:F$126,MATCH(F268,'Step 4 Stage Discharge'!E$26:E$126,1),2))*(F268-INDEX('Step 4 Stage Discharge'!E$26:F$126,MATCH(F268,'Step 4 Stage Discharge'!E$26:E$126,1),1))/(INDEX('Step 4 Stage Discharge'!E$26:F$126,MATCH(F268,'Step 4 Stage Discharge'!E$26:E$126,1)+1,1)-INDEX('Step 4 Stage Discharge'!E$26:F$126,MATCH(F268,'Step 4 Stage Discharge'!E$26:E$126,1),1))</f>
        <v>0</v>
      </c>
      <c r="H268" s="149"/>
      <c r="I268" s="149">
        <f>INDEX('Step 4 Stage Discharge'!E$26:M$126,MATCH(F268,'Step 4 Stage Discharge'!E$26:E$126,1),9)+(INDEX('Step 4 Stage Discharge'!E$26:M$126,MATCH('Step 5 Routing'!F268,'Step 4 Stage Discharge'!E$26:E$126,1)+1,9)-INDEX('Step 4 Stage Discharge'!E$26:M$126,MATCH('Step 5 Routing'!F268,'Step 4 Stage Discharge'!E$26:E$126,1),9))*('Step 5 Routing'!F268-INDEX('Step 4 Stage Discharge'!E$26:M$126,MATCH('Step 5 Routing'!F268,'Step 4 Stage Discharge'!E$26:E$126,1),1))/(INDEX('Step 4 Stage Discharge'!E$26:M$126,MATCH('Step 5 Routing'!F268,'Step 4 Stage Discharge'!E$26:E$126,1)+1,1)-INDEX('Step 4 Stage Discharge'!E$26:M$126,MATCH('Step 5 Routing'!F268,'Step 4 Stage Discharge'!E$26:E$126,1),1))</f>
        <v>4.3639431710317386E-3</v>
      </c>
      <c r="J268" s="149"/>
      <c r="K268" s="6">
        <f t="shared" si="16"/>
        <v>0</v>
      </c>
      <c r="L268" s="6">
        <f t="shared" si="17"/>
        <v>0</v>
      </c>
    </row>
    <row r="269" spans="1:12">
      <c r="A269">
        <f t="shared" si="18"/>
        <v>256</v>
      </c>
      <c r="B269" s="136">
        <f>IF(C$5=Data!D$3,'Step 2 Inflow Hydrograph'!H313,IF(C$5=Data!D$4,'Step 2 Inflow Hydrograph'!I313,IF(C$5=Data!D$5,'Step 2 Inflow Hydrograph'!J313,'Step 2 Inflow Hydrograph'!K313)))</f>
        <v>0</v>
      </c>
      <c r="C269" s="127"/>
      <c r="D269" s="6">
        <f t="shared" ref="D269:D332" si="20">IF(B269="",0,B269*D$8*60)</f>
        <v>0</v>
      </c>
      <c r="E269" s="6"/>
      <c r="F269" s="6">
        <f t="shared" si="19"/>
        <v>0</v>
      </c>
      <c r="G269" s="149">
        <f>INDEX('Step 4 Stage Discharge'!E$26:F$126,MATCH(F269,'Step 4 Stage Discharge'!E$26:E$126,1),2)+(INDEX('Step 4 Stage Discharge'!E$26:F$126,MATCH(F269,'Step 4 Stage Discharge'!E$26:E$126,1)+1,2)-INDEX('Step 4 Stage Discharge'!E$26:F$126,MATCH(F269,'Step 4 Stage Discharge'!E$26:E$126,1),2))*(F269-INDEX('Step 4 Stage Discharge'!E$26:F$126,MATCH(F269,'Step 4 Stage Discharge'!E$26:E$126,1),1))/(INDEX('Step 4 Stage Discharge'!E$26:F$126,MATCH(F269,'Step 4 Stage Discharge'!E$26:E$126,1)+1,1)-INDEX('Step 4 Stage Discharge'!E$26:F$126,MATCH(F269,'Step 4 Stage Discharge'!E$26:E$126,1),1))</f>
        <v>0</v>
      </c>
      <c r="H269" s="149"/>
      <c r="I269" s="149">
        <f>INDEX('Step 4 Stage Discharge'!E$26:M$126,MATCH(F269,'Step 4 Stage Discharge'!E$26:E$126,1),9)+(INDEX('Step 4 Stage Discharge'!E$26:M$126,MATCH('Step 5 Routing'!F269,'Step 4 Stage Discharge'!E$26:E$126,1)+1,9)-INDEX('Step 4 Stage Discharge'!E$26:M$126,MATCH('Step 5 Routing'!F269,'Step 4 Stage Discharge'!E$26:E$126,1),9))*('Step 5 Routing'!F269-INDEX('Step 4 Stage Discharge'!E$26:M$126,MATCH('Step 5 Routing'!F269,'Step 4 Stage Discharge'!E$26:E$126,1),1))/(INDEX('Step 4 Stage Discharge'!E$26:M$126,MATCH('Step 5 Routing'!F269,'Step 4 Stage Discharge'!E$26:E$126,1)+1,1)-INDEX('Step 4 Stage Discharge'!E$26:M$126,MATCH('Step 5 Routing'!F269,'Step 4 Stage Discharge'!E$26:E$126,1),1))</f>
        <v>4.3639431710317386E-3</v>
      </c>
      <c r="J269" s="149"/>
      <c r="K269" s="6">
        <f t="shared" ref="K269:K332" si="21">IF(I269*60*D$8&gt;F269,F269,I269*60*D$8)</f>
        <v>0</v>
      </c>
      <c r="L269" s="6">
        <f t="shared" ref="L269:L332" si="22">IF(F269-K269&lt;0,0,F269-K269)</f>
        <v>0</v>
      </c>
    </row>
    <row r="270" spans="1:12">
      <c r="A270">
        <f t="shared" ref="A270:A333" si="23">+A269+D$8</f>
        <v>257</v>
      </c>
      <c r="B270" s="136">
        <f>IF(C$5=Data!D$3,'Step 2 Inflow Hydrograph'!H314,IF(C$5=Data!D$4,'Step 2 Inflow Hydrograph'!I314,IF(C$5=Data!D$5,'Step 2 Inflow Hydrograph'!J314,'Step 2 Inflow Hydrograph'!K314)))</f>
        <v>0</v>
      </c>
      <c r="C270" s="127"/>
      <c r="D270" s="6">
        <f t="shared" si="20"/>
        <v>0</v>
      </c>
      <c r="E270" s="6"/>
      <c r="F270" s="6">
        <f t="shared" ref="F270:F333" si="24">+L269+D270</f>
        <v>0</v>
      </c>
      <c r="G270" s="149">
        <f>INDEX('Step 4 Stage Discharge'!E$26:F$126,MATCH(F270,'Step 4 Stage Discharge'!E$26:E$126,1),2)+(INDEX('Step 4 Stage Discharge'!E$26:F$126,MATCH(F270,'Step 4 Stage Discharge'!E$26:E$126,1)+1,2)-INDEX('Step 4 Stage Discharge'!E$26:F$126,MATCH(F270,'Step 4 Stage Discharge'!E$26:E$126,1),2))*(F270-INDEX('Step 4 Stage Discharge'!E$26:F$126,MATCH(F270,'Step 4 Stage Discharge'!E$26:E$126,1),1))/(INDEX('Step 4 Stage Discharge'!E$26:F$126,MATCH(F270,'Step 4 Stage Discharge'!E$26:E$126,1)+1,1)-INDEX('Step 4 Stage Discharge'!E$26:F$126,MATCH(F270,'Step 4 Stage Discharge'!E$26:E$126,1),1))</f>
        <v>0</v>
      </c>
      <c r="H270" s="149"/>
      <c r="I270" s="149">
        <f>INDEX('Step 4 Stage Discharge'!E$26:M$126,MATCH(F270,'Step 4 Stage Discharge'!E$26:E$126,1),9)+(INDEX('Step 4 Stage Discharge'!E$26:M$126,MATCH('Step 5 Routing'!F270,'Step 4 Stage Discharge'!E$26:E$126,1)+1,9)-INDEX('Step 4 Stage Discharge'!E$26:M$126,MATCH('Step 5 Routing'!F270,'Step 4 Stage Discharge'!E$26:E$126,1),9))*('Step 5 Routing'!F270-INDEX('Step 4 Stage Discharge'!E$26:M$126,MATCH('Step 5 Routing'!F270,'Step 4 Stage Discharge'!E$26:E$126,1),1))/(INDEX('Step 4 Stage Discharge'!E$26:M$126,MATCH('Step 5 Routing'!F270,'Step 4 Stage Discharge'!E$26:E$126,1)+1,1)-INDEX('Step 4 Stage Discharge'!E$26:M$126,MATCH('Step 5 Routing'!F270,'Step 4 Stage Discharge'!E$26:E$126,1),1))</f>
        <v>4.3639431710317386E-3</v>
      </c>
      <c r="J270" s="149"/>
      <c r="K270" s="6">
        <f t="shared" si="21"/>
        <v>0</v>
      </c>
      <c r="L270" s="6">
        <f t="shared" si="22"/>
        <v>0</v>
      </c>
    </row>
    <row r="271" spans="1:12">
      <c r="A271">
        <f t="shared" si="23"/>
        <v>258</v>
      </c>
      <c r="B271" s="136">
        <f>IF(C$5=Data!D$3,'Step 2 Inflow Hydrograph'!H315,IF(C$5=Data!D$4,'Step 2 Inflow Hydrograph'!I315,IF(C$5=Data!D$5,'Step 2 Inflow Hydrograph'!J315,'Step 2 Inflow Hydrograph'!K315)))</f>
        <v>0</v>
      </c>
      <c r="C271" s="127"/>
      <c r="D271" s="6">
        <f t="shared" si="20"/>
        <v>0</v>
      </c>
      <c r="E271" s="6"/>
      <c r="F271" s="6">
        <f t="shared" si="24"/>
        <v>0</v>
      </c>
      <c r="G271" s="149">
        <f>INDEX('Step 4 Stage Discharge'!E$26:F$126,MATCH(F271,'Step 4 Stage Discharge'!E$26:E$126,1),2)+(INDEX('Step 4 Stage Discharge'!E$26:F$126,MATCH(F271,'Step 4 Stage Discharge'!E$26:E$126,1)+1,2)-INDEX('Step 4 Stage Discharge'!E$26:F$126,MATCH(F271,'Step 4 Stage Discharge'!E$26:E$126,1),2))*(F271-INDEX('Step 4 Stage Discharge'!E$26:F$126,MATCH(F271,'Step 4 Stage Discharge'!E$26:E$126,1),1))/(INDEX('Step 4 Stage Discharge'!E$26:F$126,MATCH(F271,'Step 4 Stage Discharge'!E$26:E$126,1)+1,1)-INDEX('Step 4 Stage Discharge'!E$26:F$126,MATCH(F271,'Step 4 Stage Discharge'!E$26:E$126,1),1))</f>
        <v>0</v>
      </c>
      <c r="H271" s="149"/>
      <c r="I271" s="149">
        <f>INDEX('Step 4 Stage Discharge'!E$26:M$126,MATCH(F271,'Step 4 Stage Discharge'!E$26:E$126,1),9)+(INDEX('Step 4 Stage Discharge'!E$26:M$126,MATCH('Step 5 Routing'!F271,'Step 4 Stage Discharge'!E$26:E$126,1)+1,9)-INDEX('Step 4 Stage Discharge'!E$26:M$126,MATCH('Step 5 Routing'!F271,'Step 4 Stage Discharge'!E$26:E$126,1),9))*('Step 5 Routing'!F271-INDEX('Step 4 Stage Discharge'!E$26:M$126,MATCH('Step 5 Routing'!F271,'Step 4 Stage Discharge'!E$26:E$126,1),1))/(INDEX('Step 4 Stage Discharge'!E$26:M$126,MATCH('Step 5 Routing'!F271,'Step 4 Stage Discharge'!E$26:E$126,1)+1,1)-INDEX('Step 4 Stage Discharge'!E$26:M$126,MATCH('Step 5 Routing'!F271,'Step 4 Stage Discharge'!E$26:E$126,1),1))</f>
        <v>4.3639431710317386E-3</v>
      </c>
      <c r="J271" s="149"/>
      <c r="K271" s="6">
        <f t="shared" si="21"/>
        <v>0</v>
      </c>
      <c r="L271" s="6">
        <f t="shared" si="22"/>
        <v>0</v>
      </c>
    </row>
    <row r="272" spans="1:12">
      <c r="A272">
        <f t="shared" si="23"/>
        <v>259</v>
      </c>
      <c r="B272" s="136">
        <f>IF(C$5=Data!D$3,'Step 2 Inflow Hydrograph'!H316,IF(C$5=Data!D$4,'Step 2 Inflow Hydrograph'!I316,IF(C$5=Data!D$5,'Step 2 Inflow Hydrograph'!J316,'Step 2 Inflow Hydrograph'!K316)))</f>
        <v>0</v>
      </c>
      <c r="C272" s="127"/>
      <c r="D272" s="6">
        <f t="shared" si="20"/>
        <v>0</v>
      </c>
      <c r="E272" s="6"/>
      <c r="F272" s="6">
        <f t="shared" si="24"/>
        <v>0</v>
      </c>
      <c r="G272" s="149">
        <f>INDEX('Step 4 Stage Discharge'!E$26:F$126,MATCH(F272,'Step 4 Stage Discharge'!E$26:E$126,1),2)+(INDEX('Step 4 Stage Discharge'!E$26:F$126,MATCH(F272,'Step 4 Stage Discharge'!E$26:E$126,1)+1,2)-INDEX('Step 4 Stage Discharge'!E$26:F$126,MATCH(F272,'Step 4 Stage Discharge'!E$26:E$126,1),2))*(F272-INDEX('Step 4 Stage Discharge'!E$26:F$126,MATCH(F272,'Step 4 Stage Discharge'!E$26:E$126,1),1))/(INDEX('Step 4 Stage Discharge'!E$26:F$126,MATCH(F272,'Step 4 Stage Discharge'!E$26:E$126,1)+1,1)-INDEX('Step 4 Stage Discharge'!E$26:F$126,MATCH(F272,'Step 4 Stage Discharge'!E$26:E$126,1),1))</f>
        <v>0</v>
      </c>
      <c r="H272" s="149"/>
      <c r="I272" s="149">
        <f>INDEX('Step 4 Stage Discharge'!E$26:M$126,MATCH(F272,'Step 4 Stage Discharge'!E$26:E$126,1),9)+(INDEX('Step 4 Stage Discharge'!E$26:M$126,MATCH('Step 5 Routing'!F272,'Step 4 Stage Discharge'!E$26:E$126,1)+1,9)-INDEX('Step 4 Stage Discharge'!E$26:M$126,MATCH('Step 5 Routing'!F272,'Step 4 Stage Discharge'!E$26:E$126,1),9))*('Step 5 Routing'!F272-INDEX('Step 4 Stage Discharge'!E$26:M$126,MATCH('Step 5 Routing'!F272,'Step 4 Stage Discharge'!E$26:E$126,1),1))/(INDEX('Step 4 Stage Discharge'!E$26:M$126,MATCH('Step 5 Routing'!F272,'Step 4 Stage Discharge'!E$26:E$126,1)+1,1)-INDEX('Step 4 Stage Discharge'!E$26:M$126,MATCH('Step 5 Routing'!F272,'Step 4 Stage Discharge'!E$26:E$126,1),1))</f>
        <v>4.3639431710317386E-3</v>
      </c>
      <c r="J272" s="149"/>
      <c r="K272" s="6">
        <f t="shared" si="21"/>
        <v>0</v>
      </c>
      <c r="L272" s="6">
        <f t="shared" si="22"/>
        <v>0</v>
      </c>
    </row>
    <row r="273" spans="1:12">
      <c r="A273">
        <f t="shared" si="23"/>
        <v>260</v>
      </c>
      <c r="B273" s="136">
        <f>IF(C$5=Data!D$3,'Step 2 Inflow Hydrograph'!H317,IF(C$5=Data!D$4,'Step 2 Inflow Hydrograph'!I317,IF(C$5=Data!D$5,'Step 2 Inflow Hydrograph'!J317,'Step 2 Inflow Hydrograph'!K317)))</f>
        <v>0</v>
      </c>
      <c r="C273" s="127"/>
      <c r="D273" s="6">
        <f t="shared" si="20"/>
        <v>0</v>
      </c>
      <c r="E273" s="6"/>
      <c r="F273" s="6">
        <f t="shared" si="24"/>
        <v>0</v>
      </c>
      <c r="G273" s="149">
        <f>INDEX('Step 4 Stage Discharge'!E$26:F$126,MATCH(F273,'Step 4 Stage Discharge'!E$26:E$126,1),2)+(INDEX('Step 4 Stage Discharge'!E$26:F$126,MATCH(F273,'Step 4 Stage Discharge'!E$26:E$126,1)+1,2)-INDEX('Step 4 Stage Discharge'!E$26:F$126,MATCH(F273,'Step 4 Stage Discharge'!E$26:E$126,1),2))*(F273-INDEX('Step 4 Stage Discharge'!E$26:F$126,MATCH(F273,'Step 4 Stage Discharge'!E$26:E$126,1),1))/(INDEX('Step 4 Stage Discharge'!E$26:F$126,MATCH(F273,'Step 4 Stage Discharge'!E$26:E$126,1)+1,1)-INDEX('Step 4 Stage Discharge'!E$26:F$126,MATCH(F273,'Step 4 Stage Discharge'!E$26:E$126,1),1))</f>
        <v>0</v>
      </c>
      <c r="H273" s="149"/>
      <c r="I273" s="149">
        <f>INDEX('Step 4 Stage Discharge'!E$26:M$126,MATCH(F273,'Step 4 Stage Discharge'!E$26:E$126,1),9)+(INDEX('Step 4 Stage Discharge'!E$26:M$126,MATCH('Step 5 Routing'!F273,'Step 4 Stage Discharge'!E$26:E$126,1)+1,9)-INDEX('Step 4 Stage Discharge'!E$26:M$126,MATCH('Step 5 Routing'!F273,'Step 4 Stage Discharge'!E$26:E$126,1),9))*('Step 5 Routing'!F273-INDEX('Step 4 Stage Discharge'!E$26:M$126,MATCH('Step 5 Routing'!F273,'Step 4 Stage Discharge'!E$26:E$126,1),1))/(INDEX('Step 4 Stage Discharge'!E$26:M$126,MATCH('Step 5 Routing'!F273,'Step 4 Stage Discharge'!E$26:E$126,1)+1,1)-INDEX('Step 4 Stage Discharge'!E$26:M$126,MATCH('Step 5 Routing'!F273,'Step 4 Stage Discharge'!E$26:E$126,1),1))</f>
        <v>4.3639431710317386E-3</v>
      </c>
      <c r="J273" s="149"/>
      <c r="K273" s="6">
        <f t="shared" si="21"/>
        <v>0</v>
      </c>
      <c r="L273" s="6">
        <f t="shared" si="22"/>
        <v>0</v>
      </c>
    </row>
    <row r="274" spans="1:12">
      <c r="A274">
        <f t="shared" si="23"/>
        <v>261</v>
      </c>
      <c r="B274" s="136">
        <f>IF(C$5=Data!D$3,'Step 2 Inflow Hydrograph'!H318,IF(C$5=Data!D$4,'Step 2 Inflow Hydrograph'!I318,IF(C$5=Data!D$5,'Step 2 Inflow Hydrograph'!J318,'Step 2 Inflow Hydrograph'!K318)))</f>
        <v>0</v>
      </c>
      <c r="C274" s="127"/>
      <c r="D274" s="6">
        <f t="shared" si="20"/>
        <v>0</v>
      </c>
      <c r="E274" s="6"/>
      <c r="F274" s="6">
        <f t="shared" si="24"/>
        <v>0</v>
      </c>
      <c r="G274" s="149">
        <f>INDEX('Step 4 Stage Discharge'!E$26:F$126,MATCH(F274,'Step 4 Stage Discharge'!E$26:E$126,1),2)+(INDEX('Step 4 Stage Discharge'!E$26:F$126,MATCH(F274,'Step 4 Stage Discharge'!E$26:E$126,1)+1,2)-INDEX('Step 4 Stage Discharge'!E$26:F$126,MATCH(F274,'Step 4 Stage Discharge'!E$26:E$126,1),2))*(F274-INDEX('Step 4 Stage Discharge'!E$26:F$126,MATCH(F274,'Step 4 Stage Discharge'!E$26:E$126,1),1))/(INDEX('Step 4 Stage Discharge'!E$26:F$126,MATCH(F274,'Step 4 Stage Discharge'!E$26:E$126,1)+1,1)-INDEX('Step 4 Stage Discharge'!E$26:F$126,MATCH(F274,'Step 4 Stage Discharge'!E$26:E$126,1),1))</f>
        <v>0</v>
      </c>
      <c r="H274" s="149"/>
      <c r="I274" s="149">
        <f>INDEX('Step 4 Stage Discharge'!E$26:M$126,MATCH(F274,'Step 4 Stage Discharge'!E$26:E$126,1),9)+(INDEX('Step 4 Stage Discharge'!E$26:M$126,MATCH('Step 5 Routing'!F274,'Step 4 Stage Discharge'!E$26:E$126,1)+1,9)-INDEX('Step 4 Stage Discharge'!E$26:M$126,MATCH('Step 5 Routing'!F274,'Step 4 Stage Discharge'!E$26:E$126,1),9))*('Step 5 Routing'!F274-INDEX('Step 4 Stage Discharge'!E$26:M$126,MATCH('Step 5 Routing'!F274,'Step 4 Stage Discharge'!E$26:E$126,1),1))/(INDEX('Step 4 Stage Discharge'!E$26:M$126,MATCH('Step 5 Routing'!F274,'Step 4 Stage Discharge'!E$26:E$126,1)+1,1)-INDEX('Step 4 Stage Discharge'!E$26:M$126,MATCH('Step 5 Routing'!F274,'Step 4 Stage Discharge'!E$26:E$126,1),1))</f>
        <v>4.3639431710317386E-3</v>
      </c>
      <c r="J274" s="149"/>
      <c r="K274" s="6">
        <f t="shared" si="21"/>
        <v>0</v>
      </c>
      <c r="L274" s="6">
        <f t="shared" si="22"/>
        <v>0</v>
      </c>
    </row>
    <row r="275" spans="1:12">
      <c r="A275">
        <f t="shared" si="23"/>
        <v>262</v>
      </c>
      <c r="B275" s="136">
        <f>IF(C$5=Data!D$3,'Step 2 Inflow Hydrograph'!H319,IF(C$5=Data!D$4,'Step 2 Inflow Hydrograph'!I319,IF(C$5=Data!D$5,'Step 2 Inflow Hydrograph'!J319,'Step 2 Inflow Hydrograph'!K319)))</f>
        <v>0</v>
      </c>
      <c r="C275" s="127"/>
      <c r="D275" s="6">
        <f t="shared" si="20"/>
        <v>0</v>
      </c>
      <c r="E275" s="6"/>
      <c r="F275" s="6">
        <f t="shared" si="24"/>
        <v>0</v>
      </c>
      <c r="G275" s="149">
        <f>INDEX('Step 4 Stage Discharge'!E$26:F$126,MATCH(F275,'Step 4 Stage Discharge'!E$26:E$126,1),2)+(INDEX('Step 4 Stage Discharge'!E$26:F$126,MATCH(F275,'Step 4 Stage Discharge'!E$26:E$126,1)+1,2)-INDEX('Step 4 Stage Discharge'!E$26:F$126,MATCH(F275,'Step 4 Stage Discharge'!E$26:E$126,1),2))*(F275-INDEX('Step 4 Stage Discharge'!E$26:F$126,MATCH(F275,'Step 4 Stage Discharge'!E$26:E$126,1),1))/(INDEX('Step 4 Stage Discharge'!E$26:F$126,MATCH(F275,'Step 4 Stage Discharge'!E$26:E$126,1)+1,1)-INDEX('Step 4 Stage Discharge'!E$26:F$126,MATCH(F275,'Step 4 Stage Discharge'!E$26:E$126,1),1))</f>
        <v>0</v>
      </c>
      <c r="H275" s="149"/>
      <c r="I275" s="149">
        <f>INDEX('Step 4 Stage Discharge'!E$26:M$126,MATCH(F275,'Step 4 Stage Discharge'!E$26:E$126,1),9)+(INDEX('Step 4 Stage Discharge'!E$26:M$126,MATCH('Step 5 Routing'!F275,'Step 4 Stage Discharge'!E$26:E$126,1)+1,9)-INDEX('Step 4 Stage Discharge'!E$26:M$126,MATCH('Step 5 Routing'!F275,'Step 4 Stage Discharge'!E$26:E$126,1),9))*('Step 5 Routing'!F275-INDEX('Step 4 Stage Discharge'!E$26:M$126,MATCH('Step 5 Routing'!F275,'Step 4 Stage Discharge'!E$26:E$126,1),1))/(INDEX('Step 4 Stage Discharge'!E$26:M$126,MATCH('Step 5 Routing'!F275,'Step 4 Stage Discharge'!E$26:E$126,1)+1,1)-INDEX('Step 4 Stage Discharge'!E$26:M$126,MATCH('Step 5 Routing'!F275,'Step 4 Stage Discharge'!E$26:E$126,1),1))</f>
        <v>4.3639431710317386E-3</v>
      </c>
      <c r="J275" s="149"/>
      <c r="K275" s="6">
        <f t="shared" si="21"/>
        <v>0</v>
      </c>
      <c r="L275" s="6">
        <f t="shared" si="22"/>
        <v>0</v>
      </c>
    </row>
    <row r="276" spans="1:12">
      <c r="A276">
        <f t="shared" si="23"/>
        <v>263</v>
      </c>
      <c r="B276" s="136">
        <f>IF(C$5=Data!D$3,'Step 2 Inflow Hydrograph'!H320,IF(C$5=Data!D$4,'Step 2 Inflow Hydrograph'!I320,IF(C$5=Data!D$5,'Step 2 Inflow Hydrograph'!J320,'Step 2 Inflow Hydrograph'!K320)))</f>
        <v>0</v>
      </c>
      <c r="C276" s="127"/>
      <c r="D276" s="6">
        <f t="shared" si="20"/>
        <v>0</v>
      </c>
      <c r="E276" s="6"/>
      <c r="F276" s="6">
        <f t="shared" si="24"/>
        <v>0</v>
      </c>
      <c r="G276" s="149">
        <f>INDEX('Step 4 Stage Discharge'!E$26:F$126,MATCH(F276,'Step 4 Stage Discharge'!E$26:E$126,1),2)+(INDEX('Step 4 Stage Discharge'!E$26:F$126,MATCH(F276,'Step 4 Stage Discharge'!E$26:E$126,1)+1,2)-INDEX('Step 4 Stage Discharge'!E$26:F$126,MATCH(F276,'Step 4 Stage Discharge'!E$26:E$126,1),2))*(F276-INDEX('Step 4 Stage Discharge'!E$26:F$126,MATCH(F276,'Step 4 Stage Discharge'!E$26:E$126,1),1))/(INDEX('Step 4 Stage Discharge'!E$26:F$126,MATCH(F276,'Step 4 Stage Discharge'!E$26:E$126,1)+1,1)-INDEX('Step 4 Stage Discharge'!E$26:F$126,MATCH(F276,'Step 4 Stage Discharge'!E$26:E$126,1),1))</f>
        <v>0</v>
      </c>
      <c r="H276" s="149"/>
      <c r="I276" s="149">
        <f>INDEX('Step 4 Stage Discharge'!E$26:M$126,MATCH(F276,'Step 4 Stage Discharge'!E$26:E$126,1),9)+(INDEX('Step 4 Stage Discharge'!E$26:M$126,MATCH('Step 5 Routing'!F276,'Step 4 Stage Discharge'!E$26:E$126,1)+1,9)-INDEX('Step 4 Stage Discharge'!E$26:M$126,MATCH('Step 5 Routing'!F276,'Step 4 Stage Discharge'!E$26:E$126,1),9))*('Step 5 Routing'!F276-INDEX('Step 4 Stage Discharge'!E$26:M$126,MATCH('Step 5 Routing'!F276,'Step 4 Stage Discharge'!E$26:E$126,1),1))/(INDEX('Step 4 Stage Discharge'!E$26:M$126,MATCH('Step 5 Routing'!F276,'Step 4 Stage Discharge'!E$26:E$126,1)+1,1)-INDEX('Step 4 Stage Discharge'!E$26:M$126,MATCH('Step 5 Routing'!F276,'Step 4 Stage Discharge'!E$26:E$126,1),1))</f>
        <v>4.3639431710317386E-3</v>
      </c>
      <c r="J276" s="149"/>
      <c r="K276" s="6">
        <f t="shared" si="21"/>
        <v>0</v>
      </c>
      <c r="L276" s="6">
        <f t="shared" si="22"/>
        <v>0</v>
      </c>
    </row>
    <row r="277" spans="1:12">
      <c r="A277">
        <f t="shared" si="23"/>
        <v>264</v>
      </c>
      <c r="B277" s="136">
        <f>IF(C$5=Data!D$3,'Step 2 Inflow Hydrograph'!H321,IF(C$5=Data!D$4,'Step 2 Inflow Hydrograph'!I321,IF(C$5=Data!D$5,'Step 2 Inflow Hydrograph'!J321,'Step 2 Inflow Hydrograph'!K321)))</f>
        <v>0</v>
      </c>
      <c r="C277" s="127"/>
      <c r="D277" s="6">
        <f t="shared" si="20"/>
        <v>0</v>
      </c>
      <c r="E277" s="6"/>
      <c r="F277" s="6">
        <f t="shared" si="24"/>
        <v>0</v>
      </c>
      <c r="G277" s="149">
        <f>INDEX('Step 4 Stage Discharge'!E$26:F$126,MATCH(F277,'Step 4 Stage Discharge'!E$26:E$126,1),2)+(INDEX('Step 4 Stage Discharge'!E$26:F$126,MATCH(F277,'Step 4 Stage Discharge'!E$26:E$126,1)+1,2)-INDEX('Step 4 Stage Discharge'!E$26:F$126,MATCH(F277,'Step 4 Stage Discharge'!E$26:E$126,1),2))*(F277-INDEX('Step 4 Stage Discharge'!E$26:F$126,MATCH(F277,'Step 4 Stage Discharge'!E$26:E$126,1),1))/(INDEX('Step 4 Stage Discharge'!E$26:F$126,MATCH(F277,'Step 4 Stage Discharge'!E$26:E$126,1)+1,1)-INDEX('Step 4 Stage Discharge'!E$26:F$126,MATCH(F277,'Step 4 Stage Discharge'!E$26:E$126,1),1))</f>
        <v>0</v>
      </c>
      <c r="H277" s="149"/>
      <c r="I277" s="149">
        <f>INDEX('Step 4 Stage Discharge'!E$26:M$126,MATCH(F277,'Step 4 Stage Discharge'!E$26:E$126,1),9)+(INDEX('Step 4 Stage Discharge'!E$26:M$126,MATCH('Step 5 Routing'!F277,'Step 4 Stage Discharge'!E$26:E$126,1)+1,9)-INDEX('Step 4 Stage Discharge'!E$26:M$126,MATCH('Step 5 Routing'!F277,'Step 4 Stage Discharge'!E$26:E$126,1),9))*('Step 5 Routing'!F277-INDEX('Step 4 Stage Discharge'!E$26:M$126,MATCH('Step 5 Routing'!F277,'Step 4 Stage Discharge'!E$26:E$126,1),1))/(INDEX('Step 4 Stage Discharge'!E$26:M$126,MATCH('Step 5 Routing'!F277,'Step 4 Stage Discharge'!E$26:E$126,1)+1,1)-INDEX('Step 4 Stage Discharge'!E$26:M$126,MATCH('Step 5 Routing'!F277,'Step 4 Stage Discharge'!E$26:E$126,1),1))</f>
        <v>4.3639431710317386E-3</v>
      </c>
      <c r="J277" s="149"/>
      <c r="K277" s="6">
        <f t="shared" si="21"/>
        <v>0</v>
      </c>
      <c r="L277" s="6">
        <f t="shared" si="22"/>
        <v>0</v>
      </c>
    </row>
    <row r="278" spans="1:12">
      <c r="A278">
        <f t="shared" si="23"/>
        <v>265</v>
      </c>
      <c r="B278" s="136">
        <f>IF(C$5=Data!D$3,'Step 2 Inflow Hydrograph'!H322,IF(C$5=Data!D$4,'Step 2 Inflow Hydrograph'!I322,IF(C$5=Data!D$5,'Step 2 Inflow Hydrograph'!J322,'Step 2 Inflow Hydrograph'!K322)))</f>
        <v>0</v>
      </c>
      <c r="C278" s="127"/>
      <c r="D278" s="6">
        <f t="shared" si="20"/>
        <v>0</v>
      </c>
      <c r="E278" s="6"/>
      <c r="F278" s="6">
        <f t="shared" si="24"/>
        <v>0</v>
      </c>
      <c r="G278" s="149">
        <f>INDEX('Step 4 Stage Discharge'!E$26:F$126,MATCH(F278,'Step 4 Stage Discharge'!E$26:E$126,1),2)+(INDEX('Step 4 Stage Discharge'!E$26:F$126,MATCH(F278,'Step 4 Stage Discharge'!E$26:E$126,1)+1,2)-INDEX('Step 4 Stage Discharge'!E$26:F$126,MATCH(F278,'Step 4 Stage Discharge'!E$26:E$126,1),2))*(F278-INDEX('Step 4 Stage Discharge'!E$26:F$126,MATCH(F278,'Step 4 Stage Discharge'!E$26:E$126,1),1))/(INDEX('Step 4 Stage Discharge'!E$26:F$126,MATCH(F278,'Step 4 Stage Discharge'!E$26:E$126,1)+1,1)-INDEX('Step 4 Stage Discharge'!E$26:F$126,MATCH(F278,'Step 4 Stage Discharge'!E$26:E$126,1),1))</f>
        <v>0</v>
      </c>
      <c r="H278" s="149"/>
      <c r="I278" s="149">
        <f>INDEX('Step 4 Stage Discharge'!E$26:M$126,MATCH(F278,'Step 4 Stage Discharge'!E$26:E$126,1),9)+(INDEX('Step 4 Stage Discharge'!E$26:M$126,MATCH('Step 5 Routing'!F278,'Step 4 Stage Discharge'!E$26:E$126,1)+1,9)-INDEX('Step 4 Stage Discharge'!E$26:M$126,MATCH('Step 5 Routing'!F278,'Step 4 Stage Discharge'!E$26:E$126,1),9))*('Step 5 Routing'!F278-INDEX('Step 4 Stage Discharge'!E$26:M$126,MATCH('Step 5 Routing'!F278,'Step 4 Stage Discharge'!E$26:E$126,1),1))/(INDEX('Step 4 Stage Discharge'!E$26:M$126,MATCH('Step 5 Routing'!F278,'Step 4 Stage Discharge'!E$26:E$126,1)+1,1)-INDEX('Step 4 Stage Discharge'!E$26:M$126,MATCH('Step 5 Routing'!F278,'Step 4 Stage Discharge'!E$26:E$126,1),1))</f>
        <v>4.3639431710317386E-3</v>
      </c>
      <c r="J278" s="149"/>
      <c r="K278" s="6">
        <f t="shared" si="21"/>
        <v>0</v>
      </c>
      <c r="L278" s="6">
        <f t="shared" si="22"/>
        <v>0</v>
      </c>
    </row>
    <row r="279" spans="1:12">
      <c r="A279">
        <f t="shared" si="23"/>
        <v>266</v>
      </c>
      <c r="B279" s="136">
        <f>IF(C$5=Data!D$3,'Step 2 Inflow Hydrograph'!H323,IF(C$5=Data!D$4,'Step 2 Inflow Hydrograph'!I323,IF(C$5=Data!D$5,'Step 2 Inflow Hydrograph'!J323,'Step 2 Inflow Hydrograph'!K323)))</f>
        <v>0</v>
      </c>
      <c r="C279" s="127"/>
      <c r="D279" s="6">
        <f t="shared" si="20"/>
        <v>0</v>
      </c>
      <c r="E279" s="6"/>
      <c r="F279" s="6">
        <f t="shared" si="24"/>
        <v>0</v>
      </c>
      <c r="G279" s="149">
        <f>INDEX('Step 4 Stage Discharge'!E$26:F$126,MATCH(F279,'Step 4 Stage Discharge'!E$26:E$126,1),2)+(INDEX('Step 4 Stage Discharge'!E$26:F$126,MATCH(F279,'Step 4 Stage Discharge'!E$26:E$126,1)+1,2)-INDEX('Step 4 Stage Discharge'!E$26:F$126,MATCH(F279,'Step 4 Stage Discharge'!E$26:E$126,1),2))*(F279-INDEX('Step 4 Stage Discharge'!E$26:F$126,MATCH(F279,'Step 4 Stage Discharge'!E$26:E$126,1),1))/(INDEX('Step 4 Stage Discharge'!E$26:F$126,MATCH(F279,'Step 4 Stage Discharge'!E$26:E$126,1)+1,1)-INDEX('Step 4 Stage Discharge'!E$26:F$126,MATCH(F279,'Step 4 Stage Discharge'!E$26:E$126,1),1))</f>
        <v>0</v>
      </c>
      <c r="H279" s="149"/>
      <c r="I279" s="149">
        <f>INDEX('Step 4 Stage Discharge'!E$26:M$126,MATCH(F279,'Step 4 Stage Discharge'!E$26:E$126,1),9)+(INDEX('Step 4 Stage Discharge'!E$26:M$126,MATCH('Step 5 Routing'!F279,'Step 4 Stage Discharge'!E$26:E$126,1)+1,9)-INDEX('Step 4 Stage Discharge'!E$26:M$126,MATCH('Step 5 Routing'!F279,'Step 4 Stage Discharge'!E$26:E$126,1),9))*('Step 5 Routing'!F279-INDEX('Step 4 Stage Discharge'!E$26:M$126,MATCH('Step 5 Routing'!F279,'Step 4 Stage Discharge'!E$26:E$126,1),1))/(INDEX('Step 4 Stage Discharge'!E$26:M$126,MATCH('Step 5 Routing'!F279,'Step 4 Stage Discharge'!E$26:E$126,1)+1,1)-INDEX('Step 4 Stage Discharge'!E$26:M$126,MATCH('Step 5 Routing'!F279,'Step 4 Stage Discharge'!E$26:E$126,1),1))</f>
        <v>4.3639431710317386E-3</v>
      </c>
      <c r="J279" s="149"/>
      <c r="K279" s="6">
        <f t="shared" si="21"/>
        <v>0</v>
      </c>
      <c r="L279" s="6">
        <f t="shared" si="22"/>
        <v>0</v>
      </c>
    </row>
    <row r="280" spans="1:12">
      <c r="A280">
        <f t="shared" si="23"/>
        <v>267</v>
      </c>
      <c r="B280" s="136">
        <f>IF(C$5=Data!D$3,'Step 2 Inflow Hydrograph'!H324,IF(C$5=Data!D$4,'Step 2 Inflow Hydrograph'!I324,IF(C$5=Data!D$5,'Step 2 Inflow Hydrograph'!J324,'Step 2 Inflow Hydrograph'!K324)))</f>
        <v>0</v>
      </c>
      <c r="C280" s="127"/>
      <c r="D280" s="6">
        <f t="shared" si="20"/>
        <v>0</v>
      </c>
      <c r="E280" s="6"/>
      <c r="F280" s="6">
        <f t="shared" si="24"/>
        <v>0</v>
      </c>
      <c r="G280" s="149">
        <f>INDEX('Step 4 Stage Discharge'!E$26:F$126,MATCH(F280,'Step 4 Stage Discharge'!E$26:E$126,1),2)+(INDEX('Step 4 Stage Discharge'!E$26:F$126,MATCH(F280,'Step 4 Stage Discharge'!E$26:E$126,1)+1,2)-INDEX('Step 4 Stage Discharge'!E$26:F$126,MATCH(F280,'Step 4 Stage Discharge'!E$26:E$126,1),2))*(F280-INDEX('Step 4 Stage Discharge'!E$26:F$126,MATCH(F280,'Step 4 Stage Discharge'!E$26:E$126,1),1))/(INDEX('Step 4 Stage Discharge'!E$26:F$126,MATCH(F280,'Step 4 Stage Discharge'!E$26:E$126,1)+1,1)-INDEX('Step 4 Stage Discharge'!E$26:F$126,MATCH(F280,'Step 4 Stage Discharge'!E$26:E$126,1),1))</f>
        <v>0</v>
      </c>
      <c r="H280" s="149"/>
      <c r="I280" s="149">
        <f>INDEX('Step 4 Stage Discharge'!E$26:M$126,MATCH(F280,'Step 4 Stage Discharge'!E$26:E$126,1),9)+(INDEX('Step 4 Stage Discharge'!E$26:M$126,MATCH('Step 5 Routing'!F280,'Step 4 Stage Discharge'!E$26:E$126,1)+1,9)-INDEX('Step 4 Stage Discharge'!E$26:M$126,MATCH('Step 5 Routing'!F280,'Step 4 Stage Discharge'!E$26:E$126,1),9))*('Step 5 Routing'!F280-INDEX('Step 4 Stage Discharge'!E$26:M$126,MATCH('Step 5 Routing'!F280,'Step 4 Stage Discharge'!E$26:E$126,1),1))/(INDEX('Step 4 Stage Discharge'!E$26:M$126,MATCH('Step 5 Routing'!F280,'Step 4 Stage Discharge'!E$26:E$126,1)+1,1)-INDEX('Step 4 Stage Discharge'!E$26:M$126,MATCH('Step 5 Routing'!F280,'Step 4 Stage Discharge'!E$26:E$126,1),1))</f>
        <v>4.3639431710317386E-3</v>
      </c>
      <c r="J280" s="149"/>
      <c r="K280" s="6">
        <f t="shared" si="21"/>
        <v>0</v>
      </c>
      <c r="L280" s="6">
        <f t="shared" si="22"/>
        <v>0</v>
      </c>
    </row>
    <row r="281" spans="1:12">
      <c r="A281">
        <f t="shared" si="23"/>
        <v>268</v>
      </c>
      <c r="B281" s="136">
        <f>IF(C$5=Data!D$3,'Step 2 Inflow Hydrograph'!H325,IF(C$5=Data!D$4,'Step 2 Inflow Hydrograph'!I325,IF(C$5=Data!D$5,'Step 2 Inflow Hydrograph'!J325,'Step 2 Inflow Hydrograph'!K325)))</f>
        <v>0</v>
      </c>
      <c r="C281" s="127"/>
      <c r="D281" s="6">
        <f t="shared" si="20"/>
        <v>0</v>
      </c>
      <c r="E281" s="6"/>
      <c r="F281" s="6">
        <f t="shared" si="24"/>
        <v>0</v>
      </c>
      <c r="G281" s="149">
        <f>INDEX('Step 4 Stage Discharge'!E$26:F$126,MATCH(F281,'Step 4 Stage Discharge'!E$26:E$126,1),2)+(INDEX('Step 4 Stage Discharge'!E$26:F$126,MATCH(F281,'Step 4 Stage Discharge'!E$26:E$126,1)+1,2)-INDEX('Step 4 Stage Discharge'!E$26:F$126,MATCH(F281,'Step 4 Stage Discharge'!E$26:E$126,1),2))*(F281-INDEX('Step 4 Stage Discharge'!E$26:F$126,MATCH(F281,'Step 4 Stage Discharge'!E$26:E$126,1),1))/(INDEX('Step 4 Stage Discharge'!E$26:F$126,MATCH(F281,'Step 4 Stage Discharge'!E$26:E$126,1)+1,1)-INDEX('Step 4 Stage Discharge'!E$26:F$126,MATCH(F281,'Step 4 Stage Discharge'!E$26:E$126,1),1))</f>
        <v>0</v>
      </c>
      <c r="H281" s="149"/>
      <c r="I281" s="149">
        <f>INDEX('Step 4 Stage Discharge'!E$26:M$126,MATCH(F281,'Step 4 Stage Discharge'!E$26:E$126,1),9)+(INDEX('Step 4 Stage Discharge'!E$26:M$126,MATCH('Step 5 Routing'!F281,'Step 4 Stage Discharge'!E$26:E$126,1)+1,9)-INDEX('Step 4 Stage Discharge'!E$26:M$126,MATCH('Step 5 Routing'!F281,'Step 4 Stage Discharge'!E$26:E$126,1),9))*('Step 5 Routing'!F281-INDEX('Step 4 Stage Discharge'!E$26:M$126,MATCH('Step 5 Routing'!F281,'Step 4 Stage Discharge'!E$26:E$126,1),1))/(INDEX('Step 4 Stage Discharge'!E$26:M$126,MATCH('Step 5 Routing'!F281,'Step 4 Stage Discharge'!E$26:E$126,1)+1,1)-INDEX('Step 4 Stage Discharge'!E$26:M$126,MATCH('Step 5 Routing'!F281,'Step 4 Stage Discharge'!E$26:E$126,1),1))</f>
        <v>4.3639431710317386E-3</v>
      </c>
      <c r="J281" s="149"/>
      <c r="K281" s="6">
        <f t="shared" si="21"/>
        <v>0</v>
      </c>
      <c r="L281" s="6">
        <f t="shared" si="22"/>
        <v>0</v>
      </c>
    </row>
    <row r="282" spans="1:12">
      <c r="A282">
        <f t="shared" si="23"/>
        <v>269</v>
      </c>
      <c r="B282" s="136">
        <f>IF(C$5=Data!D$3,'Step 2 Inflow Hydrograph'!H326,IF(C$5=Data!D$4,'Step 2 Inflow Hydrograph'!I326,IF(C$5=Data!D$5,'Step 2 Inflow Hydrograph'!J326,'Step 2 Inflow Hydrograph'!K326)))</f>
        <v>0</v>
      </c>
      <c r="C282" s="127"/>
      <c r="D282" s="6">
        <f t="shared" si="20"/>
        <v>0</v>
      </c>
      <c r="E282" s="6"/>
      <c r="F282" s="6">
        <f t="shared" si="24"/>
        <v>0</v>
      </c>
      <c r="G282" s="149">
        <f>INDEX('Step 4 Stage Discharge'!E$26:F$126,MATCH(F282,'Step 4 Stage Discharge'!E$26:E$126,1),2)+(INDEX('Step 4 Stage Discharge'!E$26:F$126,MATCH(F282,'Step 4 Stage Discharge'!E$26:E$126,1)+1,2)-INDEX('Step 4 Stage Discharge'!E$26:F$126,MATCH(F282,'Step 4 Stage Discharge'!E$26:E$126,1),2))*(F282-INDEX('Step 4 Stage Discharge'!E$26:F$126,MATCH(F282,'Step 4 Stage Discharge'!E$26:E$126,1),1))/(INDEX('Step 4 Stage Discharge'!E$26:F$126,MATCH(F282,'Step 4 Stage Discharge'!E$26:E$126,1)+1,1)-INDEX('Step 4 Stage Discharge'!E$26:F$126,MATCH(F282,'Step 4 Stage Discharge'!E$26:E$126,1),1))</f>
        <v>0</v>
      </c>
      <c r="H282" s="149"/>
      <c r="I282" s="149">
        <f>INDEX('Step 4 Stage Discharge'!E$26:M$126,MATCH(F282,'Step 4 Stage Discharge'!E$26:E$126,1),9)+(INDEX('Step 4 Stage Discharge'!E$26:M$126,MATCH('Step 5 Routing'!F282,'Step 4 Stage Discharge'!E$26:E$126,1)+1,9)-INDEX('Step 4 Stage Discharge'!E$26:M$126,MATCH('Step 5 Routing'!F282,'Step 4 Stage Discharge'!E$26:E$126,1),9))*('Step 5 Routing'!F282-INDEX('Step 4 Stage Discharge'!E$26:M$126,MATCH('Step 5 Routing'!F282,'Step 4 Stage Discharge'!E$26:E$126,1),1))/(INDEX('Step 4 Stage Discharge'!E$26:M$126,MATCH('Step 5 Routing'!F282,'Step 4 Stage Discharge'!E$26:E$126,1)+1,1)-INDEX('Step 4 Stage Discharge'!E$26:M$126,MATCH('Step 5 Routing'!F282,'Step 4 Stage Discharge'!E$26:E$126,1),1))</f>
        <v>4.3639431710317386E-3</v>
      </c>
      <c r="J282" s="149"/>
      <c r="K282" s="6">
        <f t="shared" si="21"/>
        <v>0</v>
      </c>
      <c r="L282" s="6">
        <f t="shared" si="22"/>
        <v>0</v>
      </c>
    </row>
    <row r="283" spans="1:12">
      <c r="A283">
        <f t="shared" si="23"/>
        <v>270</v>
      </c>
      <c r="B283" s="136">
        <f>IF(C$5=Data!D$3,'Step 2 Inflow Hydrograph'!H327,IF(C$5=Data!D$4,'Step 2 Inflow Hydrograph'!I327,IF(C$5=Data!D$5,'Step 2 Inflow Hydrograph'!J327,'Step 2 Inflow Hydrograph'!K327)))</f>
        <v>0</v>
      </c>
      <c r="C283" s="127"/>
      <c r="D283" s="6">
        <f t="shared" si="20"/>
        <v>0</v>
      </c>
      <c r="E283" s="6"/>
      <c r="F283" s="6">
        <f t="shared" si="24"/>
        <v>0</v>
      </c>
      <c r="G283" s="149">
        <f>INDEX('Step 4 Stage Discharge'!E$26:F$126,MATCH(F283,'Step 4 Stage Discharge'!E$26:E$126,1),2)+(INDEX('Step 4 Stage Discharge'!E$26:F$126,MATCH(F283,'Step 4 Stage Discharge'!E$26:E$126,1)+1,2)-INDEX('Step 4 Stage Discharge'!E$26:F$126,MATCH(F283,'Step 4 Stage Discharge'!E$26:E$126,1),2))*(F283-INDEX('Step 4 Stage Discharge'!E$26:F$126,MATCH(F283,'Step 4 Stage Discharge'!E$26:E$126,1),1))/(INDEX('Step 4 Stage Discharge'!E$26:F$126,MATCH(F283,'Step 4 Stage Discharge'!E$26:E$126,1)+1,1)-INDEX('Step 4 Stage Discharge'!E$26:F$126,MATCH(F283,'Step 4 Stage Discharge'!E$26:E$126,1),1))</f>
        <v>0</v>
      </c>
      <c r="H283" s="149"/>
      <c r="I283" s="149">
        <f>INDEX('Step 4 Stage Discharge'!E$26:M$126,MATCH(F283,'Step 4 Stage Discharge'!E$26:E$126,1),9)+(INDEX('Step 4 Stage Discharge'!E$26:M$126,MATCH('Step 5 Routing'!F283,'Step 4 Stage Discharge'!E$26:E$126,1)+1,9)-INDEX('Step 4 Stage Discharge'!E$26:M$126,MATCH('Step 5 Routing'!F283,'Step 4 Stage Discharge'!E$26:E$126,1),9))*('Step 5 Routing'!F283-INDEX('Step 4 Stage Discharge'!E$26:M$126,MATCH('Step 5 Routing'!F283,'Step 4 Stage Discharge'!E$26:E$126,1),1))/(INDEX('Step 4 Stage Discharge'!E$26:M$126,MATCH('Step 5 Routing'!F283,'Step 4 Stage Discharge'!E$26:E$126,1)+1,1)-INDEX('Step 4 Stage Discharge'!E$26:M$126,MATCH('Step 5 Routing'!F283,'Step 4 Stage Discharge'!E$26:E$126,1),1))</f>
        <v>4.3639431710317386E-3</v>
      </c>
      <c r="J283" s="149"/>
      <c r="K283" s="6">
        <f t="shared" si="21"/>
        <v>0</v>
      </c>
      <c r="L283" s="6">
        <f t="shared" si="22"/>
        <v>0</v>
      </c>
    </row>
    <row r="284" spans="1:12">
      <c r="A284">
        <f t="shared" si="23"/>
        <v>271</v>
      </c>
      <c r="B284" s="136">
        <f>IF(C$5=Data!D$3,'Step 2 Inflow Hydrograph'!H328,IF(C$5=Data!D$4,'Step 2 Inflow Hydrograph'!I328,IF(C$5=Data!D$5,'Step 2 Inflow Hydrograph'!J328,'Step 2 Inflow Hydrograph'!K328)))</f>
        <v>0</v>
      </c>
      <c r="C284" s="127"/>
      <c r="D284" s="6">
        <f t="shared" si="20"/>
        <v>0</v>
      </c>
      <c r="E284" s="6"/>
      <c r="F284" s="6">
        <f t="shared" si="24"/>
        <v>0</v>
      </c>
      <c r="G284" s="149">
        <f>INDEX('Step 4 Stage Discharge'!E$26:F$126,MATCH(F284,'Step 4 Stage Discharge'!E$26:E$126,1),2)+(INDEX('Step 4 Stage Discharge'!E$26:F$126,MATCH(F284,'Step 4 Stage Discharge'!E$26:E$126,1)+1,2)-INDEX('Step 4 Stage Discharge'!E$26:F$126,MATCH(F284,'Step 4 Stage Discharge'!E$26:E$126,1),2))*(F284-INDEX('Step 4 Stage Discharge'!E$26:F$126,MATCH(F284,'Step 4 Stage Discharge'!E$26:E$126,1),1))/(INDEX('Step 4 Stage Discharge'!E$26:F$126,MATCH(F284,'Step 4 Stage Discharge'!E$26:E$126,1)+1,1)-INDEX('Step 4 Stage Discharge'!E$26:F$126,MATCH(F284,'Step 4 Stage Discharge'!E$26:E$126,1),1))</f>
        <v>0</v>
      </c>
      <c r="H284" s="149"/>
      <c r="I284" s="149">
        <f>INDEX('Step 4 Stage Discharge'!E$26:M$126,MATCH(F284,'Step 4 Stage Discharge'!E$26:E$126,1),9)+(INDEX('Step 4 Stage Discharge'!E$26:M$126,MATCH('Step 5 Routing'!F284,'Step 4 Stage Discharge'!E$26:E$126,1)+1,9)-INDEX('Step 4 Stage Discharge'!E$26:M$126,MATCH('Step 5 Routing'!F284,'Step 4 Stage Discharge'!E$26:E$126,1),9))*('Step 5 Routing'!F284-INDEX('Step 4 Stage Discharge'!E$26:M$126,MATCH('Step 5 Routing'!F284,'Step 4 Stage Discharge'!E$26:E$126,1),1))/(INDEX('Step 4 Stage Discharge'!E$26:M$126,MATCH('Step 5 Routing'!F284,'Step 4 Stage Discharge'!E$26:E$126,1)+1,1)-INDEX('Step 4 Stage Discharge'!E$26:M$126,MATCH('Step 5 Routing'!F284,'Step 4 Stage Discharge'!E$26:E$126,1),1))</f>
        <v>4.3639431710317386E-3</v>
      </c>
      <c r="J284" s="149"/>
      <c r="K284" s="6">
        <f t="shared" si="21"/>
        <v>0</v>
      </c>
      <c r="L284" s="6">
        <f t="shared" si="22"/>
        <v>0</v>
      </c>
    </row>
    <row r="285" spans="1:12">
      <c r="A285">
        <f t="shared" si="23"/>
        <v>272</v>
      </c>
      <c r="B285" s="136">
        <f>IF(C$5=Data!D$3,'Step 2 Inflow Hydrograph'!H329,IF(C$5=Data!D$4,'Step 2 Inflow Hydrograph'!I329,IF(C$5=Data!D$5,'Step 2 Inflow Hydrograph'!J329,'Step 2 Inflow Hydrograph'!K329)))</f>
        <v>0</v>
      </c>
      <c r="C285" s="127"/>
      <c r="D285" s="6">
        <f t="shared" si="20"/>
        <v>0</v>
      </c>
      <c r="E285" s="6"/>
      <c r="F285" s="6">
        <f t="shared" si="24"/>
        <v>0</v>
      </c>
      <c r="G285" s="149">
        <f>INDEX('Step 4 Stage Discharge'!E$26:F$126,MATCH(F285,'Step 4 Stage Discharge'!E$26:E$126,1),2)+(INDEX('Step 4 Stage Discharge'!E$26:F$126,MATCH(F285,'Step 4 Stage Discharge'!E$26:E$126,1)+1,2)-INDEX('Step 4 Stage Discharge'!E$26:F$126,MATCH(F285,'Step 4 Stage Discharge'!E$26:E$126,1),2))*(F285-INDEX('Step 4 Stage Discharge'!E$26:F$126,MATCH(F285,'Step 4 Stage Discharge'!E$26:E$126,1),1))/(INDEX('Step 4 Stage Discharge'!E$26:F$126,MATCH(F285,'Step 4 Stage Discharge'!E$26:E$126,1)+1,1)-INDEX('Step 4 Stage Discharge'!E$26:F$126,MATCH(F285,'Step 4 Stage Discharge'!E$26:E$126,1),1))</f>
        <v>0</v>
      </c>
      <c r="H285" s="149"/>
      <c r="I285" s="149">
        <f>INDEX('Step 4 Stage Discharge'!E$26:M$126,MATCH(F285,'Step 4 Stage Discharge'!E$26:E$126,1),9)+(INDEX('Step 4 Stage Discharge'!E$26:M$126,MATCH('Step 5 Routing'!F285,'Step 4 Stage Discharge'!E$26:E$126,1)+1,9)-INDEX('Step 4 Stage Discharge'!E$26:M$126,MATCH('Step 5 Routing'!F285,'Step 4 Stage Discharge'!E$26:E$126,1),9))*('Step 5 Routing'!F285-INDEX('Step 4 Stage Discharge'!E$26:M$126,MATCH('Step 5 Routing'!F285,'Step 4 Stage Discharge'!E$26:E$126,1),1))/(INDEX('Step 4 Stage Discharge'!E$26:M$126,MATCH('Step 5 Routing'!F285,'Step 4 Stage Discharge'!E$26:E$126,1)+1,1)-INDEX('Step 4 Stage Discharge'!E$26:M$126,MATCH('Step 5 Routing'!F285,'Step 4 Stage Discharge'!E$26:E$126,1),1))</f>
        <v>4.3639431710317386E-3</v>
      </c>
      <c r="J285" s="149"/>
      <c r="K285" s="6">
        <f t="shared" si="21"/>
        <v>0</v>
      </c>
      <c r="L285" s="6">
        <f t="shared" si="22"/>
        <v>0</v>
      </c>
    </row>
    <row r="286" spans="1:12">
      <c r="A286">
        <f t="shared" si="23"/>
        <v>273</v>
      </c>
      <c r="B286" s="136">
        <f>IF(C$5=Data!D$3,'Step 2 Inflow Hydrograph'!H330,IF(C$5=Data!D$4,'Step 2 Inflow Hydrograph'!I330,IF(C$5=Data!D$5,'Step 2 Inflow Hydrograph'!J330,'Step 2 Inflow Hydrograph'!K330)))</f>
        <v>0</v>
      </c>
      <c r="C286" s="127"/>
      <c r="D286" s="6">
        <f t="shared" si="20"/>
        <v>0</v>
      </c>
      <c r="E286" s="6"/>
      <c r="F286" s="6">
        <f t="shared" si="24"/>
        <v>0</v>
      </c>
      <c r="G286" s="149">
        <f>INDEX('Step 4 Stage Discharge'!E$26:F$126,MATCH(F286,'Step 4 Stage Discharge'!E$26:E$126,1),2)+(INDEX('Step 4 Stage Discharge'!E$26:F$126,MATCH(F286,'Step 4 Stage Discharge'!E$26:E$126,1)+1,2)-INDEX('Step 4 Stage Discharge'!E$26:F$126,MATCH(F286,'Step 4 Stage Discharge'!E$26:E$126,1),2))*(F286-INDEX('Step 4 Stage Discharge'!E$26:F$126,MATCH(F286,'Step 4 Stage Discharge'!E$26:E$126,1),1))/(INDEX('Step 4 Stage Discharge'!E$26:F$126,MATCH(F286,'Step 4 Stage Discharge'!E$26:E$126,1)+1,1)-INDEX('Step 4 Stage Discharge'!E$26:F$126,MATCH(F286,'Step 4 Stage Discharge'!E$26:E$126,1),1))</f>
        <v>0</v>
      </c>
      <c r="H286" s="149"/>
      <c r="I286" s="149">
        <f>INDEX('Step 4 Stage Discharge'!E$26:M$126,MATCH(F286,'Step 4 Stage Discharge'!E$26:E$126,1),9)+(INDEX('Step 4 Stage Discharge'!E$26:M$126,MATCH('Step 5 Routing'!F286,'Step 4 Stage Discharge'!E$26:E$126,1)+1,9)-INDEX('Step 4 Stage Discharge'!E$26:M$126,MATCH('Step 5 Routing'!F286,'Step 4 Stage Discharge'!E$26:E$126,1),9))*('Step 5 Routing'!F286-INDEX('Step 4 Stage Discharge'!E$26:M$126,MATCH('Step 5 Routing'!F286,'Step 4 Stage Discharge'!E$26:E$126,1),1))/(INDEX('Step 4 Stage Discharge'!E$26:M$126,MATCH('Step 5 Routing'!F286,'Step 4 Stage Discharge'!E$26:E$126,1)+1,1)-INDEX('Step 4 Stage Discharge'!E$26:M$126,MATCH('Step 5 Routing'!F286,'Step 4 Stage Discharge'!E$26:E$126,1),1))</f>
        <v>4.3639431710317386E-3</v>
      </c>
      <c r="J286" s="149"/>
      <c r="K286" s="6">
        <f t="shared" si="21"/>
        <v>0</v>
      </c>
      <c r="L286" s="6">
        <f t="shared" si="22"/>
        <v>0</v>
      </c>
    </row>
    <row r="287" spans="1:12">
      <c r="A287">
        <f t="shared" si="23"/>
        <v>274</v>
      </c>
      <c r="B287" s="136">
        <f>IF(C$5=Data!D$3,'Step 2 Inflow Hydrograph'!H331,IF(C$5=Data!D$4,'Step 2 Inflow Hydrograph'!I331,IF(C$5=Data!D$5,'Step 2 Inflow Hydrograph'!J331,'Step 2 Inflow Hydrograph'!K331)))</f>
        <v>0</v>
      </c>
      <c r="C287" s="127"/>
      <c r="D287" s="6">
        <f t="shared" si="20"/>
        <v>0</v>
      </c>
      <c r="E287" s="6"/>
      <c r="F287" s="6">
        <f t="shared" si="24"/>
        <v>0</v>
      </c>
      <c r="G287" s="149">
        <f>INDEX('Step 4 Stage Discharge'!E$26:F$126,MATCH(F287,'Step 4 Stage Discharge'!E$26:E$126,1),2)+(INDEX('Step 4 Stage Discharge'!E$26:F$126,MATCH(F287,'Step 4 Stage Discharge'!E$26:E$126,1)+1,2)-INDEX('Step 4 Stage Discharge'!E$26:F$126,MATCH(F287,'Step 4 Stage Discharge'!E$26:E$126,1),2))*(F287-INDEX('Step 4 Stage Discharge'!E$26:F$126,MATCH(F287,'Step 4 Stage Discharge'!E$26:E$126,1),1))/(INDEX('Step 4 Stage Discharge'!E$26:F$126,MATCH(F287,'Step 4 Stage Discharge'!E$26:E$126,1)+1,1)-INDEX('Step 4 Stage Discharge'!E$26:F$126,MATCH(F287,'Step 4 Stage Discharge'!E$26:E$126,1),1))</f>
        <v>0</v>
      </c>
      <c r="H287" s="149"/>
      <c r="I287" s="149">
        <f>INDEX('Step 4 Stage Discharge'!E$26:M$126,MATCH(F287,'Step 4 Stage Discharge'!E$26:E$126,1),9)+(INDEX('Step 4 Stage Discharge'!E$26:M$126,MATCH('Step 5 Routing'!F287,'Step 4 Stage Discharge'!E$26:E$126,1)+1,9)-INDEX('Step 4 Stage Discharge'!E$26:M$126,MATCH('Step 5 Routing'!F287,'Step 4 Stage Discharge'!E$26:E$126,1),9))*('Step 5 Routing'!F287-INDEX('Step 4 Stage Discharge'!E$26:M$126,MATCH('Step 5 Routing'!F287,'Step 4 Stage Discharge'!E$26:E$126,1),1))/(INDEX('Step 4 Stage Discharge'!E$26:M$126,MATCH('Step 5 Routing'!F287,'Step 4 Stage Discharge'!E$26:E$126,1)+1,1)-INDEX('Step 4 Stage Discharge'!E$26:M$126,MATCH('Step 5 Routing'!F287,'Step 4 Stage Discharge'!E$26:E$126,1),1))</f>
        <v>4.3639431710317386E-3</v>
      </c>
      <c r="J287" s="149"/>
      <c r="K287" s="6">
        <f t="shared" si="21"/>
        <v>0</v>
      </c>
      <c r="L287" s="6">
        <f t="shared" si="22"/>
        <v>0</v>
      </c>
    </row>
    <row r="288" spans="1:12">
      <c r="A288">
        <f t="shared" si="23"/>
        <v>275</v>
      </c>
      <c r="B288" s="136">
        <f>IF(C$5=Data!D$3,'Step 2 Inflow Hydrograph'!H332,IF(C$5=Data!D$4,'Step 2 Inflow Hydrograph'!I332,IF(C$5=Data!D$5,'Step 2 Inflow Hydrograph'!J332,'Step 2 Inflow Hydrograph'!K332)))</f>
        <v>0</v>
      </c>
      <c r="C288" s="127"/>
      <c r="D288" s="6">
        <f t="shared" si="20"/>
        <v>0</v>
      </c>
      <c r="E288" s="6"/>
      <c r="F288" s="6">
        <f t="shared" si="24"/>
        <v>0</v>
      </c>
      <c r="G288" s="149">
        <f>INDEX('Step 4 Stage Discharge'!E$26:F$126,MATCH(F288,'Step 4 Stage Discharge'!E$26:E$126,1),2)+(INDEX('Step 4 Stage Discharge'!E$26:F$126,MATCH(F288,'Step 4 Stage Discharge'!E$26:E$126,1)+1,2)-INDEX('Step 4 Stage Discharge'!E$26:F$126,MATCH(F288,'Step 4 Stage Discharge'!E$26:E$126,1),2))*(F288-INDEX('Step 4 Stage Discharge'!E$26:F$126,MATCH(F288,'Step 4 Stage Discharge'!E$26:E$126,1),1))/(INDEX('Step 4 Stage Discharge'!E$26:F$126,MATCH(F288,'Step 4 Stage Discharge'!E$26:E$126,1)+1,1)-INDEX('Step 4 Stage Discharge'!E$26:F$126,MATCH(F288,'Step 4 Stage Discharge'!E$26:E$126,1),1))</f>
        <v>0</v>
      </c>
      <c r="H288" s="149"/>
      <c r="I288" s="149">
        <f>INDEX('Step 4 Stage Discharge'!E$26:M$126,MATCH(F288,'Step 4 Stage Discharge'!E$26:E$126,1),9)+(INDEX('Step 4 Stage Discharge'!E$26:M$126,MATCH('Step 5 Routing'!F288,'Step 4 Stage Discharge'!E$26:E$126,1)+1,9)-INDEX('Step 4 Stage Discharge'!E$26:M$126,MATCH('Step 5 Routing'!F288,'Step 4 Stage Discharge'!E$26:E$126,1),9))*('Step 5 Routing'!F288-INDEX('Step 4 Stage Discharge'!E$26:M$126,MATCH('Step 5 Routing'!F288,'Step 4 Stage Discharge'!E$26:E$126,1),1))/(INDEX('Step 4 Stage Discharge'!E$26:M$126,MATCH('Step 5 Routing'!F288,'Step 4 Stage Discharge'!E$26:E$126,1)+1,1)-INDEX('Step 4 Stage Discharge'!E$26:M$126,MATCH('Step 5 Routing'!F288,'Step 4 Stage Discharge'!E$26:E$126,1),1))</f>
        <v>4.3639431710317386E-3</v>
      </c>
      <c r="J288" s="149"/>
      <c r="K288" s="6">
        <f t="shared" si="21"/>
        <v>0</v>
      </c>
      <c r="L288" s="6">
        <f t="shared" si="22"/>
        <v>0</v>
      </c>
    </row>
    <row r="289" spans="1:12">
      <c r="A289">
        <f t="shared" si="23"/>
        <v>276</v>
      </c>
      <c r="B289" s="136">
        <f>IF(C$5=Data!D$3,'Step 2 Inflow Hydrograph'!H333,IF(C$5=Data!D$4,'Step 2 Inflow Hydrograph'!I333,IF(C$5=Data!D$5,'Step 2 Inflow Hydrograph'!J333,'Step 2 Inflow Hydrograph'!K333)))</f>
        <v>0</v>
      </c>
      <c r="C289" s="127"/>
      <c r="D289" s="6">
        <f t="shared" si="20"/>
        <v>0</v>
      </c>
      <c r="E289" s="6"/>
      <c r="F289" s="6">
        <f t="shared" si="24"/>
        <v>0</v>
      </c>
      <c r="G289" s="149">
        <f>INDEX('Step 4 Stage Discharge'!E$26:F$126,MATCH(F289,'Step 4 Stage Discharge'!E$26:E$126,1),2)+(INDEX('Step 4 Stage Discharge'!E$26:F$126,MATCH(F289,'Step 4 Stage Discharge'!E$26:E$126,1)+1,2)-INDEX('Step 4 Stage Discharge'!E$26:F$126,MATCH(F289,'Step 4 Stage Discharge'!E$26:E$126,1),2))*(F289-INDEX('Step 4 Stage Discharge'!E$26:F$126,MATCH(F289,'Step 4 Stage Discharge'!E$26:E$126,1),1))/(INDEX('Step 4 Stage Discharge'!E$26:F$126,MATCH(F289,'Step 4 Stage Discharge'!E$26:E$126,1)+1,1)-INDEX('Step 4 Stage Discharge'!E$26:F$126,MATCH(F289,'Step 4 Stage Discharge'!E$26:E$126,1),1))</f>
        <v>0</v>
      </c>
      <c r="H289" s="149"/>
      <c r="I289" s="149">
        <f>INDEX('Step 4 Stage Discharge'!E$26:M$126,MATCH(F289,'Step 4 Stage Discharge'!E$26:E$126,1),9)+(INDEX('Step 4 Stage Discharge'!E$26:M$126,MATCH('Step 5 Routing'!F289,'Step 4 Stage Discharge'!E$26:E$126,1)+1,9)-INDEX('Step 4 Stage Discharge'!E$26:M$126,MATCH('Step 5 Routing'!F289,'Step 4 Stage Discharge'!E$26:E$126,1),9))*('Step 5 Routing'!F289-INDEX('Step 4 Stage Discharge'!E$26:M$126,MATCH('Step 5 Routing'!F289,'Step 4 Stage Discharge'!E$26:E$126,1),1))/(INDEX('Step 4 Stage Discharge'!E$26:M$126,MATCH('Step 5 Routing'!F289,'Step 4 Stage Discharge'!E$26:E$126,1)+1,1)-INDEX('Step 4 Stage Discharge'!E$26:M$126,MATCH('Step 5 Routing'!F289,'Step 4 Stage Discharge'!E$26:E$126,1),1))</f>
        <v>4.3639431710317386E-3</v>
      </c>
      <c r="J289" s="149"/>
      <c r="K289" s="6">
        <f t="shared" si="21"/>
        <v>0</v>
      </c>
      <c r="L289" s="6">
        <f t="shared" si="22"/>
        <v>0</v>
      </c>
    </row>
    <row r="290" spans="1:12">
      <c r="A290">
        <f t="shared" si="23"/>
        <v>277</v>
      </c>
      <c r="B290" s="136">
        <f>IF(C$5=Data!D$3,'Step 2 Inflow Hydrograph'!H334,IF(C$5=Data!D$4,'Step 2 Inflow Hydrograph'!I334,IF(C$5=Data!D$5,'Step 2 Inflow Hydrograph'!J334,'Step 2 Inflow Hydrograph'!K334)))</f>
        <v>0</v>
      </c>
      <c r="C290" s="127"/>
      <c r="D290" s="6">
        <f t="shared" si="20"/>
        <v>0</v>
      </c>
      <c r="E290" s="6"/>
      <c r="F290" s="6">
        <f t="shared" si="24"/>
        <v>0</v>
      </c>
      <c r="G290" s="149">
        <f>INDEX('Step 4 Stage Discharge'!E$26:F$126,MATCH(F290,'Step 4 Stage Discharge'!E$26:E$126,1),2)+(INDEX('Step 4 Stage Discharge'!E$26:F$126,MATCH(F290,'Step 4 Stage Discharge'!E$26:E$126,1)+1,2)-INDEX('Step 4 Stage Discharge'!E$26:F$126,MATCH(F290,'Step 4 Stage Discharge'!E$26:E$126,1),2))*(F290-INDEX('Step 4 Stage Discharge'!E$26:F$126,MATCH(F290,'Step 4 Stage Discharge'!E$26:E$126,1),1))/(INDEX('Step 4 Stage Discharge'!E$26:F$126,MATCH(F290,'Step 4 Stage Discharge'!E$26:E$126,1)+1,1)-INDEX('Step 4 Stage Discharge'!E$26:F$126,MATCH(F290,'Step 4 Stage Discharge'!E$26:E$126,1),1))</f>
        <v>0</v>
      </c>
      <c r="H290" s="149"/>
      <c r="I290" s="149">
        <f>INDEX('Step 4 Stage Discharge'!E$26:M$126,MATCH(F290,'Step 4 Stage Discharge'!E$26:E$126,1),9)+(INDEX('Step 4 Stage Discharge'!E$26:M$126,MATCH('Step 5 Routing'!F290,'Step 4 Stage Discharge'!E$26:E$126,1)+1,9)-INDEX('Step 4 Stage Discharge'!E$26:M$126,MATCH('Step 5 Routing'!F290,'Step 4 Stage Discharge'!E$26:E$126,1),9))*('Step 5 Routing'!F290-INDEX('Step 4 Stage Discharge'!E$26:M$126,MATCH('Step 5 Routing'!F290,'Step 4 Stage Discharge'!E$26:E$126,1),1))/(INDEX('Step 4 Stage Discharge'!E$26:M$126,MATCH('Step 5 Routing'!F290,'Step 4 Stage Discharge'!E$26:E$126,1)+1,1)-INDEX('Step 4 Stage Discharge'!E$26:M$126,MATCH('Step 5 Routing'!F290,'Step 4 Stage Discharge'!E$26:E$126,1),1))</f>
        <v>4.3639431710317386E-3</v>
      </c>
      <c r="J290" s="149"/>
      <c r="K290" s="6">
        <f t="shared" si="21"/>
        <v>0</v>
      </c>
      <c r="L290" s="6">
        <f t="shared" si="22"/>
        <v>0</v>
      </c>
    </row>
    <row r="291" spans="1:12">
      <c r="A291">
        <f t="shared" si="23"/>
        <v>278</v>
      </c>
      <c r="B291" s="136">
        <f>IF(C$5=Data!D$3,'Step 2 Inflow Hydrograph'!H335,IF(C$5=Data!D$4,'Step 2 Inflow Hydrograph'!I335,IF(C$5=Data!D$5,'Step 2 Inflow Hydrograph'!J335,'Step 2 Inflow Hydrograph'!K335)))</f>
        <v>0</v>
      </c>
      <c r="C291" s="127"/>
      <c r="D291" s="6">
        <f t="shared" si="20"/>
        <v>0</v>
      </c>
      <c r="E291" s="6"/>
      <c r="F291" s="6">
        <f t="shared" si="24"/>
        <v>0</v>
      </c>
      <c r="G291" s="149">
        <f>INDEX('Step 4 Stage Discharge'!E$26:F$126,MATCH(F291,'Step 4 Stage Discharge'!E$26:E$126,1),2)+(INDEX('Step 4 Stage Discharge'!E$26:F$126,MATCH(F291,'Step 4 Stage Discharge'!E$26:E$126,1)+1,2)-INDEX('Step 4 Stage Discharge'!E$26:F$126,MATCH(F291,'Step 4 Stage Discharge'!E$26:E$126,1),2))*(F291-INDEX('Step 4 Stage Discharge'!E$26:F$126,MATCH(F291,'Step 4 Stage Discharge'!E$26:E$126,1),1))/(INDEX('Step 4 Stage Discharge'!E$26:F$126,MATCH(F291,'Step 4 Stage Discharge'!E$26:E$126,1)+1,1)-INDEX('Step 4 Stage Discharge'!E$26:F$126,MATCH(F291,'Step 4 Stage Discharge'!E$26:E$126,1),1))</f>
        <v>0</v>
      </c>
      <c r="H291" s="149"/>
      <c r="I291" s="149">
        <f>INDEX('Step 4 Stage Discharge'!E$26:M$126,MATCH(F291,'Step 4 Stage Discharge'!E$26:E$126,1),9)+(INDEX('Step 4 Stage Discharge'!E$26:M$126,MATCH('Step 5 Routing'!F291,'Step 4 Stage Discharge'!E$26:E$126,1)+1,9)-INDEX('Step 4 Stage Discharge'!E$26:M$126,MATCH('Step 5 Routing'!F291,'Step 4 Stage Discharge'!E$26:E$126,1),9))*('Step 5 Routing'!F291-INDEX('Step 4 Stage Discharge'!E$26:M$126,MATCH('Step 5 Routing'!F291,'Step 4 Stage Discharge'!E$26:E$126,1),1))/(INDEX('Step 4 Stage Discharge'!E$26:M$126,MATCH('Step 5 Routing'!F291,'Step 4 Stage Discharge'!E$26:E$126,1)+1,1)-INDEX('Step 4 Stage Discharge'!E$26:M$126,MATCH('Step 5 Routing'!F291,'Step 4 Stage Discharge'!E$26:E$126,1),1))</f>
        <v>4.3639431710317386E-3</v>
      </c>
      <c r="J291" s="149"/>
      <c r="K291" s="6">
        <f t="shared" si="21"/>
        <v>0</v>
      </c>
      <c r="L291" s="6">
        <f t="shared" si="22"/>
        <v>0</v>
      </c>
    </row>
    <row r="292" spans="1:12">
      <c r="A292">
        <f t="shared" si="23"/>
        <v>279</v>
      </c>
      <c r="B292" s="136">
        <f>IF(C$5=Data!D$3,'Step 2 Inflow Hydrograph'!H336,IF(C$5=Data!D$4,'Step 2 Inflow Hydrograph'!I336,IF(C$5=Data!D$5,'Step 2 Inflow Hydrograph'!J336,'Step 2 Inflow Hydrograph'!K336)))</f>
        <v>0</v>
      </c>
      <c r="C292" s="127"/>
      <c r="D292" s="6">
        <f t="shared" si="20"/>
        <v>0</v>
      </c>
      <c r="E292" s="6"/>
      <c r="F292" s="6">
        <f t="shared" si="24"/>
        <v>0</v>
      </c>
      <c r="G292" s="149">
        <f>INDEX('Step 4 Stage Discharge'!E$26:F$126,MATCH(F292,'Step 4 Stage Discharge'!E$26:E$126,1),2)+(INDEX('Step 4 Stage Discharge'!E$26:F$126,MATCH(F292,'Step 4 Stage Discharge'!E$26:E$126,1)+1,2)-INDEX('Step 4 Stage Discharge'!E$26:F$126,MATCH(F292,'Step 4 Stage Discharge'!E$26:E$126,1),2))*(F292-INDEX('Step 4 Stage Discharge'!E$26:F$126,MATCH(F292,'Step 4 Stage Discharge'!E$26:E$126,1),1))/(INDEX('Step 4 Stage Discharge'!E$26:F$126,MATCH(F292,'Step 4 Stage Discharge'!E$26:E$126,1)+1,1)-INDEX('Step 4 Stage Discharge'!E$26:F$126,MATCH(F292,'Step 4 Stage Discharge'!E$26:E$126,1),1))</f>
        <v>0</v>
      </c>
      <c r="H292" s="149"/>
      <c r="I292" s="149">
        <f>INDEX('Step 4 Stage Discharge'!E$26:M$126,MATCH(F292,'Step 4 Stage Discharge'!E$26:E$126,1),9)+(INDEX('Step 4 Stage Discharge'!E$26:M$126,MATCH('Step 5 Routing'!F292,'Step 4 Stage Discharge'!E$26:E$126,1)+1,9)-INDEX('Step 4 Stage Discharge'!E$26:M$126,MATCH('Step 5 Routing'!F292,'Step 4 Stage Discharge'!E$26:E$126,1),9))*('Step 5 Routing'!F292-INDEX('Step 4 Stage Discharge'!E$26:M$126,MATCH('Step 5 Routing'!F292,'Step 4 Stage Discharge'!E$26:E$126,1),1))/(INDEX('Step 4 Stage Discharge'!E$26:M$126,MATCH('Step 5 Routing'!F292,'Step 4 Stage Discharge'!E$26:E$126,1)+1,1)-INDEX('Step 4 Stage Discharge'!E$26:M$126,MATCH('Step 5 Routing'!F292,'Step 4 Stage Discharge'!E$26:E$126,1),1))</f>
        <v>4.3639431710317386E-3</v>
      </c>
      <c r="J292" s="149"/>
      <c r="K292" s="6">
        <f t="shared" si="21"/>
        <v>0</v>
      </c>
      <c r="L292" s="6">
        <f t="shared" si="22"/>
        <v>0</v>
      </c>
    </row>
    <row r="293" spans="1:12">
      <c r="A293">
        <f t="shared" si="23"/>
        <v>280</v>
      </c>
      <c r="B293" s="136">
        <f>IF(C$5=Data!D$3,'Step 2 Inflow Hydrograph'!H337,IF(C$5=Data!D$4,'Step 2 Inflow Hydrograph'!I337,IF(C$5=Data!D$5,'Step 2 Inflow Hydrograph'!J337,'Step 2 Inflow Hydrograph'!K337)))</f>
        <v>0</v>
      </c>
      <c r="C293" s="127"/>
      <c r="D293" s="6">
        <f t="shared" si="20"/>
        <v>0</v>
      </c>
      <c r="E293" s="6"/>
      <c r="F293" s="6">
        <f t="shared" si="24"/>
        <v>0</v>
      </c>
      <c r="G293" s="149">
        <f>INDEX('Step 4 Stage Discharge'!E$26:F$126,MATCH(F293,'Step 4 Stage Discharge'!E$26:E$126,1),2)+(INDEX('Step 4 Stage Discharge'!E$26:F$126,MATCH(F293,'Step 4 Stage Discharge'!E$26:E$126,1)+1,2)-INDEX('Step 4 Stage Discharge'!E$26:F$126,MATCH(F293,'Step 4 Stage Discharge'!E$26:E$126,1),2))*(F293-INDEX('Step 4 Stage Discharge'!E$26:F$126,MATCH(F293,'Step 4 Stage Discharge'!E$26:E$126,1),1))/(INDEX('Step 4 Stage Discharge'!E$26:F$126,MATCH(F293,'Step 4 Stage Discharge'!E$26:E$126,1)+1,1)-INDEX('Step 4 Stage Discharge'!E$26:F$126,MATCH(F293,'Step 4 Stage Discharge'!E$26:E$126,1),1))</f>
        <v>0</v>
      </c>
      <c r="H293" s="149"/>
      <c r="I293" s="149">
        <f>INDEX('Step 4 Stage Discharge'!E$26:M$126,MATCH(F293,'Step 4 Stage Discharge'!E$26:E$126,1),9)+(INDEX('Step 4 Stage Discharge'!E$26:M$126,MATCH('Step 5 Routing'!F293,'Step 4 Stage Discharge'!E$26:E$126,1)+1,9)-INDEX('Step 4 Stage Discharge'!E$26:M$126,MATCH('Step 5 Routing'!F293,'Step 4 Stage Discharge'!E$26:E$126,1),9))*('Step 5 Routing'!F293-INDEX('Step 4 Stage Discharge'!E$26:M$126,MATCH('Step 5 Routing'!F293,'Step 4 Stage Discharge'!E$26:E$126,1),1))/(INDEX('Step 4 Stage Discharge'!E$26:M$126,MATCH('Step 5 Routing'!F293,'Step 4 Stage Discharge'!E$26:E$126,1)+1,1)-INDEX('Step 4 Stage Discharge'!E$26:M$126,MATCH('Step 5 Routing'!F293,'Step 4 Stage Discharge'!E$26:E$126,1),1))</f>
        <v>4.3639431710317386E-3</v>
      </c>
      <c r="J293" s="149"/>
      <c r="K293" s="6">
        <f t="shared" si="21"/>
        <v>0</v>
      </c>
      <c r="L293" s="6">
        <f t="shared" si="22"/>
        <v>0</v>
      </c>
    </row>
    <row r="294" spans="1:12">
      <c r="A294">
        <f t="shared" si="23"/>
        <v>281</v>
      </c>
      <c r="B294" s="136">
        <f>IF(C$5=Data!D$3,'Step 2 Inflow Hydrograph'!H338,IF(C$5=Data!D$4,'Step 2 Inflow Hydrograph'!I338,IF(C$5=Data!D$5,'Step 2 Inflow Hydrograph'!J338,'Step 2 Inflow Hydrograph'!K338)))</f>
        <v>0</v>
      </c>
      <c r="C294" s="127"/>
      <c r="D294" s="6">
        <f t="shared" si="20"/>
        <v>0</v>
      </c>
      <c r="E294" s="6"/>
      <c r="F294" s="6">
        <f t="shared" si="24"/>
        <v>0</v>
      </c>
      <c r="G294" s="149">
        <f>INDEX('Step 4 Stage Discharge'!E$26:F$126,MATCH(F294,'Step 4 Stage Discharge'!E$26:E$126,1),2)+(INDEX('Step 4 Stage Discharge'!E$26:F$126,MATCH(F294,'Step 4 Stage Discharge'!E$26:E$126,1)+1,2)-INDEX('Step 4 Stage Discharge'!E$26:F$126,MATCH(F294,'Step 4 Stage Discharge'!E$26:E$126,1),2))*(F294-INDEX('Step 4 Stage Discharge'!E$26:F$126,MATCH(F294,'Step 4 Stage Discharge'!E$26:E$126,1),1))/(INDEX('Step 4 Stage Discharge'!E$26:F$126,MATCH(F294,'Step 4 Stage Discharge'!E$26:E$126,1)+1,1)-INDEX('Step 4 Stage Discharge'!E$26:F$126,MATCH(F294,'Step 4 Stage Discharge'!E$26:E$126,1),1))</f>
        <v>0</v>
      </c>
      <c r="H294" s="149"/>
      <c r="I294" s="149">
        <f>INDEX('Step 4 Stage Discharge'!E$26:M$126,MATCH(F294,'Step 4 Stage Discharge'!E$26:E$126,1),9)+(INDEX('Step 4 Stage Discharge'!E$26:M$126,MATCH('Step 5 Routing'!F294,'Step 4 Stage Discharge'!E$26:E$126,1)+1,9)-INDEX('Step 4 Stage Discharge'!E$26:M$126,MATCH('Step 5 Routing'!F294,'Step 4 Stage Discharge'!E$26:E$126,1),9))*('Step 5 Routing'!F294-INDEX('Step 4 Stage Discharge'!E$26:M$126,MATCH('Step 5 Routing'!F294,'Step 4 Stage Discharge'!E$26:E$126,1),1))/(INDEX('Step 4 Stage Discharge'!E$26:M$126,MATCH('Step 5 Routing'!F294,'Step 4 Stage Discharge'!E$26:E$126,1)+1,1)-INDEX('Step 4 Stage Discharge'!E$26:M$126,MATCH('Step 5 Routing'!F294,'Step 4 Stage Discharge'!E$26:E$126,1),1))</f>
        <v>4.3639431710317386E-3</v>
      </c>
      <c r="J294" s="149"/>
      <c r="K294" s="6">
        <f t="shared" si="21"/>
        <v>0</v>
      </c>
      <c r="L294" s="6">
        <f t="shared" si="22"/>
        <v>0</v>
      </c>
    </row>
    <row r="295" spans="1:12">
      <c r="A295">
        <f t="shared" si="23"/>
        <v>282</v>
      </c>
      <c r="B295" s="136">
        <f>IF(C$5=Data!D$3,'Step 2 Inflow Hydrograph'!H339,IF(C$5=Data!D$4,'Step 2 Inflow Hydrograph'!I339,IF(C$5=Data!D$5,'Step 2 Inflow Hydrograph'!J339,'Step 2 Inflow Hydrograph'!K339)))</f>
        <v>0</v>
      </c>
      <c r="C295" s="127"/>
      <c r="D295" s="6">
        <f t="shared" si="20"/>
        <v>0</v>
      </c>
      <c r="E295" s="6"/>
      <c r="F295" s="6">
        <f t="shared" si="24"/>
        <v>0</v>
      </c>
      <c r="G295" s="149">
        <f>INDEX('Step 4 Stage Discharge'!E$26:F$126,MATCH(F295,'Step 4 Stage Discharge'!E$26:E$126,1),2)+(INDEX('Step 4 Stage Discharge'!E$26:F$126,MATCH(F295,'Step 4 Stage Discharge'!E$26:E$126,1)+1,2)-INDEX('Step 4 Stage Discharge'!E$26:F$126,MATCH(F295,'Step 4 Stage Discharge'!E$26:E$126,1),2))*(F295-INDEX('Step 4 Stage Discharge'!E$26:F$126,MATCH(F295,'Step 4 Stage Discharge'!E$26:E$126,1),1))/(INDEX('Step 4 Stage Discharge'!E$26:F$126,MATCH(F295,'Step 4 Stage Discharge'!E$26:E$126,1)+1,1)-INDEX('Step 4 Stage Discharge'!E$26:F$126,MATCH(F295,'Step 4 Stage Discharge'!E$26:E$126,1),1))</f>
        <v>0</v>
      </c>
      <c r="H295" s="149"/>
      <c r="I295" s="149">
        <f>INDEX('Step 4 Stage Discharge'!E$26:M$126,MATCH(F295,'Step 4 Stage Discharge'!E$26:E$126,1),9)+(INDEX('Step 4 Stage Discharge'!E$26:M$126,MATCH('Step 5 Routing'!F295,'Step 4 Stage Discharge'!E$26:E$126,1)+1,9)-INDEX('Step 4 Stage Discharge'!E$26:M$126,MATCH('Step 5 Routing'!F295,'Step 4 Stage Discharge'!E$26:E$126,1),9))*('Step 5 Routing'!F295-INDEX('Step 4 Stage Discharge'!E$26:M$126,MATCH('Step 5 Routing'!F295,'Step 4 Stage Discharge'!E$26:E$126,1),1))/(INDEX('Step 4 Stage Discharge'!E$26:M$126,MATCH('Step 5 Routing'!F295,'Step 4 Stage Discharge'!E$26:E$126,1)+1,1)-INDEX('Step 4 Stage Discharge'!E$26:M$126,MATCH('Step 5 Routing'!F295,'Step 4 Stage Discharge'!E$26:E$126,1),1))</f>
        <v>4.3639431710317386E-3</v>
      </c>
      <c r="J295" s="149"/>
      <c r="K295" s="6">
        <f t="shared" si="21"/>
        <v>0</v>
      </c>
      <c r="L295" s="6">
        <f t="shared" si="22"/>
        <v>0</v>
      </c>
    </row>
    <row r="296" spans="1:12">
      <c r="A296">
        <f t="shared" si="23"/>
        <v>283</v>
      </c>
      <c r="B296" s="136">
        <f>IF(C$5=Data!D$3,'Step 2 Inflow Hydrograph'!H340,IF(C$5=Data!D$4,'Step 2 Inflow Hydrograph'!I340,IF(C$5=Data!D$5,'Step 2 Inflow Hydrograph'!J340,'Step 2 Inflow Hydrograph'!K340)))</f>
        <v>0</v>
      </c>
      <c r="C296" s="127"/>
      <c r="D296" s="6">
        <f t="shared" si="20"/>
        <v>0</v>
      </c>
      <c r="E296" s="6"/>
      <c r="F296" s="6">
        <f t="shared" si="24"/>
        <v>0</v>
      </c>
      <c r="G296" s="149">
        <f>INDEX('Step 4 Stage Discharge'!E$26:F$126,MATCH(F296,'Step 4 Stage Discharge'!E$26:E$126,1),2)+(INDEX('Step 4 Stage Discharge'!E$26:F$126,MATCH(F296,'Step 4 Stage Discharge'!E$26:E$126,1)+1,2)-INDEX('Step 4 Stage Discharge'!E$26:F$126,MATCH(F296,'Step 4 Stage Discharge'!E$26:E$126,1),2))*(F296-INDEX('Step 4 Stage Discharge'!E$26:F$126,MATCH(F296,'Step 4 Stage Discharge'!E$26:E$126,1),1))/(INDEX('Step 4 Stage Discharge'!E$26:F$126,MATCH(F296,'Step 4 Stage Discharge'!E$26:E$126,1)+1,1)-INDEX('Step 4 Stage Discharge'!E$26:F$126,MATCH(F296,'Step 4 Stage Discharge'!E$26:E$126,1),1))</f>
        <v>0</v>
      </c>
      <c r="H296" s="149"/>
      <c r="I296" s="149">
        <f>INDEX('Step 4 Stage Discharge'!E$26:M$126,MATCH(F296,'Step 4 Stage Discharge'!E$26:E$126,1),9)+(INDEX('Step 4 Stage Discharge'!E$26:M$126,MATCH('Step 5 Routing'!F296,'Step 4 Stage Discharge'!E$26:E$126,1)+1,9)-INDEX('Step 4 Stage Discharge'!E$26:M$126,MATCH('Step 5 Routing'!F296,'Step 4 Stage Discharge'!E$26:E$126,1),9))*('Step 5 Routing'!F296-INDEX('Step 4 Stage Discharge'!E$26:M$126,MATCH('Step 5 Routing'!F296,'Step 4 Stage Discharge'!E$26:E$126,1),1))/(INDEX('Step 4 Stage Discharge'!E$26:M$126,MATCH('Step 5 Routing'!F296,'Step 4 Stage Discharge'!E$26:E$126,1)+1,1)-INDEX('Step 4 Stage Discharge'!E$26:M$126,MATCH('Step 5 Routing'!F296,'Step 4 Stage Discharge'!E$26:E$126,1),1))</f>
        <v>4.3639431710317386E-3</v>
      </c>
      <c r="J296" s="149"/>
      <c r="K296" s="6">
        <f t="shared" si="21"/>
        <v>0</v>
      </c>
      <c r="L296" s="6">
        <f t="shared" si="22"/>
        <v>0</v>
      </c>
    </row>
    <row r="297" spans="1:12">
      <c r="A297">
        <f t="shared" si="23"/>
        <v>284</v>
      </c>
      <c r="B297" s="136">
        <f>IF(C$5=Data!D$3,'Step 2 Inflow Hydrograph'!H341,IF(C$5=Data!D$4,'Step 2 Inflow Hydrograph'!I341,IF(C$5=Data!D$5,'Step 2 Inflow Hydrograph'!J341,'Step 2 Inflow Hydrograph'!K341)))</f>
        <v>0</v>
      </c>
      <c r="C297" s="127"/>
      <c r="D297" s="6">
        <f t="shared" si="20"/>
        <v>0</v>
      </c>
      <c r="E297" s="6"/>
      <c r="F297" s="6">
        <f t="shared" si="24"/>
        <v>0</v>
      </c>
      <c r="G297" s="149">
        <f>INDEX('Step 4 Stage Discharge'!E$26:F$126,MATCH(F297,'Step 4 Stage Discharge'!E$26:E$126,1),2)+(INDEX('Step 4 Stage Discharge'!E$26:F$126,MATCH(F297,'Step 4 Stage Discharge'!E$26:E$126,1)+1,2)-INDEX('Step 4 Stage Discharge'!E$26:F$126,MATCH(F297,'Step 4 Stage Discharge'!E$26:E$126,1),2))*(F297-INDEX('Step 4 Stage Discharge'!E$26:F$126,MATCH(F297,'Step 4 Stage Discharge'!E$26:E$126,1),1))/(INDEX('Step 4 Stage Discharge'!E$26:F$126,MATCH(F297,'Step 4 Stage Discharge'!E$26:E$126,1)+1,1)-INDEX('Step 4 Stage Discharge'!E$26:F$126,MATCH(F297,'Step 4 Stage Discharge'!E$26:E$126,1),1))</f>
        <v>0</v>
      </c>
      <c r="H297" s="149"/>
      <c r="I297" s="149">
        <f>INDEX('Step 4 Stage Discharge'!E$26:M$126,MATCH(F297,'Step 4 Stage Discharge'!E$26:E$126,1),9)+(INDEX('Step 4 Stage Discharge'!E$26:M$126,MATCH('Step 5 Routing'!F297,'Step 4 Stage Discharge'!E$26:E$126,1)+1,9)-INDEX('Step 4 Stage Discharge'!E$26:M$126,MATCH('Step 5 Routing'!F297,'Step 4 Stage Discharge'!E$26:E$126,1),9))*('Step 5 Routing'!F297-INDEX('Step 4 Stage Discharge'!E$26:M$126,MATCH('Step 5 Routing'!F297,'Step 4 Stage Discharge'!E$26:E$126,1),1))/(INDEX('Step 4 Stage Discharge'!E$26:M$126,MATCH('Step 5 Routing'!F297,'Step 4 Stage Discharge'!E$26:E$126,1)+1,1)-INDEX('Step 4 Stage Discharge'!E$26:M$126,MATCH('Step 5 Routing'!F297,'Step 4 Stage Discharge'!E$26:E$126,1),1))</f>
        <v>4.3639431710317386E-3</v>
      </c>
      <c r="J297" s="149"/>
      <c r="K297" s="6">
        <f t="shared" si="21"/>
        <v>0</v>
      </c>
      <c r="L297" s="6">
        <f t="shared" si="22"/>
        <v>0</v>
      </c>
    </row>
    <row r="298" spans="1:12">
      <c r="A298">
        <f t="shared" si="23"/>
        <v>285</v>
      </c>
      <c r="B298" s="136">
        <f>IF(C$5=Data!D$3,'Step 2 Inflow Hydrograph'!H342,IF(C$5=Data!D$4,'Step 2 Inflow Hydrograph'!I342,IF(C$5=Data!D$5,'Step 2 Inflow Hydrograph'!J342,'Step 2 Inflow Hydrograph'!K342)))</f>
        <v>0</v>
      </c>
      <c r="C298" s="127"/>
      <c r="D298" s="6">
        <f t="shared" si="20"/>
        <v>0</v>
      </c>
      <c r="E298" s="6"/>
      <c r="F298" s="6">
        <f t="shared" si="24"/>
        <v>0</v>
      </c>
      <c r="G298" s="149">
        <f>INDEX('Step 4 Stage Discharge'!E$26:F$126,MATCH(F298,'Step 4 Stage Discharge'!E$26:E$126,1),2)+(INDEX('Step 4 Stage Discharge'!E$26:F$126,MATCH(F298,'Step 4 Stage Discharge'!E$26:E$126,1)+1,2)-INDEX('Step 4 Stage Discharge'!E$26:F$126,MATCH(F298,'Step 4 Stage Discharge'!E$26:E$126,1),2))*(F298-INDEX('Step 4 Stage Discharge'!E$26:F$126,MATCH(F298,'Step 4 Stage Discharge'!E$26:E$126,1),1))/(INDEX('Step 4 Stage Discharge'!E$26:F$126,MATCH(F298,'Step 4 Stage Discharge'!E$26:E$126,1)+1,1)-INDEX('Step 4 Stage Discharge'!E$26:F$126,MATCH(F298,'Step 4 Stage Discharge'!E$26:E$126,1),1))</f>
        <v>0</v>
      </c>
      <c r="H298" s="149"/>
      <c r="I298" s="149">
        <f>INDEX('Step 4 Stage Discharge'!E$26:M$126,MATCH(F298,'Step 4 Stage Discharge'!E$26:E$126,1),9)+(INDEX('Step 4 Stage Discharge'!E$26:M$126,MATCH('Step 5 Routing'!F298,'Step 4 Stage Discharge'!E$26:E$126,1)+1,9)-INDEX('Step 4 Stage Discharge'!E$26:M$126,MATCH('Step 5 Routing'!F298,'Step 4 Stage Discharge'!E$26:E$126,1),9))*('Step 5 Routing'!F298-INDEX('Step 4 Stage Discharge'!E$26:M$126,MATCH('Step 5 Routing'!F298,'Step 4 Stage Discharge'!E$26:E$126,1),1))/(INDEX('Step 4 Stage Discharge'!E$26:M$126,MATCH('Step 5 Routing'!F298,'Step 4 Stage Discharge'!E$26:E$126,1)+1,1)-INDEX('Step 4 Stage Discharge'!E$26:M$126,MATCH('Step 5 Routing'!F298,'Step 4 Stage Discharge'!E$26:E$126,1),1))</f>
        <v>4.3639431710317386E-3</v>
      </c>
      <c r="J298" s="149"/>
      <c r="K298" s="6">
        <f t="shared" si="21"/>
        <v>0</v>
      </c>
      <c r="L298" s="6">
        <f t="shared" si="22"/>
        <v>0</v>
      </c>
    </row>
    <row r="299" spans="1:12">
      <c r="A299">
        <f t="shared" si="23"/>
        <v>286</v>
      </c>
      <c r="B299" s="136">
        <f>IF(C$5=Data!D$3,'Step 2 Inflow Hydrograph'!H343,IF(C$5=Data!D$4,'Step 2 Inflow Hydrograph'!I343,IF(C$5=Data!D$5,'Step 2 Inflow Hydrograph'!J343,'Step 2 Inflow Hydrograph'!K343)))</f>
        <v>0</v>
      </c>
      <c r="C299" s="127"/>
      <c r="D299" s="6">
        <f t="shared" si="20"/>
        <v>0</v>
      </c>
      <c r="E299" s="6"/>
      <c r="F299" s="6">
        <f t="shared" si="24"/>
        <v>0</v>
      </c>
      <c r="G299" s="149">
        <f>INDEX('Step 4 Stage Discharge'!E$26:F$126,MATCH(F299,'Step 4 Stage Discharge'!E$26:E$126,1),2)+(INDEX('Step 4 Stage Discharge'!E$26:F$126,MATCH(F299,'Step 4 Stage Discharge'!E$26:E$126,1)+1,2)-INDEX('Step 4 Stage Discharge'!E$26:F$126,MATCH(F299,'Step 4 Stage Discharge'!E$26:E$126,1),2))*(F299-INDEX('Step 4 Stage Discharge'!E$26:F$126,MATCH(F299,'Step 4 Stage Discharge'!E$26:E$126,1),1))/(INDEX('Step 4 Stage Discharge'!E$26:F$126,MATCH(F299,'Step 4 Stage Discharge'!E$26:E$126,1)+1,1)-INDEX('Step 4 Stage Discharge'!E$26:F$126,MATCH(F299,'Step 4 Stage Discharge'!E$26:E$126,1),1))</f>
        <v>0</v>
      </c>
      <c r="H299" s="149"/>
      <c r="I299" s="149">
        <f>INDEX('Step 4 Stage Discharge'!E$26:M$126,MATCH(F299,'Step 4 Stage Discharge'!E$26:E$126,1),9)+(INDEX('Step 4 Stage Discharge'!E$26:M$126,MATCH('Step 5 Routing'!F299,'Step 4 Stage Discharge'!E$26:E$126,1)+1,9)-INDEX('Step 4 Stage Discharge'!E$26:M$126,MATCH('Step 5 Routing'!F299,'Step 4 Stage Discharge'!E$26:E$126,1),9))*('Step 5 Routing'!F299-INDEX('Step 4 Stage Discharge'!E$26:M$126,MATCH('Step 5 Routing'!F299,'Step 4 Stage Discharge'!E$26:E$126,1),1))/(INDEX('Step 4 Stage Discharge'!E$26:M$126,MATCH('Step 5 Routing'!F299,'Step 4 Stage Discharge'!E$26:E$126,1)+1,1)-INDEX('Step 4 Stage Discharge'!E$26:M$126,MATCH('Step 5 Routing'!F299,'Step 4 Stage Discharge'!E$26:E$126,1),1))</f>
        <v>4.3639431710317386E-3</v>
      </c>
      <c r="J299" s="149"/>
      <c r="K299" s="6">
        <f t="shared" si="21"/>
        <v>0</v>
      </c>
      <c r="L299" s="6">
        <f t="shared" si="22"/>
        <v>0</v>
      </c>
    </row>
    <row r="300" spans="1:12">
      <c r="A300">
        <f t="shared" si="23"/>
        <v>287</v>
      </c>
      <c r="B300" s="136">
        <f>IF(C$5=Data!D$3,'Step 2 Inflow Hydrograph'!H344,IF(C$5=Data!D$4,'Step 2 Inflow Hydrograph'!I344,IF(C$5=Data!D$5,'Step 2 Inflow Hydrograph'!J344,'Step 2 Inflow Hydrograph'!K344)))</f>
        <v>0</v>
      </c>
      <c r="C300" s="127"/>
      <c r="D300" s="6">
        <f t="shared" si="20"/>
        <v>0</v>
      </c>
      <c r="E300" s="6"/>
      <c r="F300" s="6">
        <f t="shared" si="24"/>
        <v>0</v>
      </c>
      <c r="G300" s="149">
        <f>INDEX('Step 4 Stage Discharge'!E$26:F$126,MATCH(F300,'Step 4 Stage Discharge'!E$26:E$126,1),2)+(INDEX('Step 4 Stage Discharge'!E$26:F$126,MATCH(F300,'Step 4 Stage Discharge'!E$26:E$126,1)+1,2)-INDEX('Step 4 Stage Discharge'!E$26:F$126,MATCH(F300,'Step 4 Stage Discharge'!E$26:E$126,1),2))*(F300-INDEX('Step 4 Stage Discharge'!E$26:F$126,MATCH(F300,'Step 4 Stage Discharge'!E$26:E$126,1),1))/(INDEX('Step 4 Stage Discharge'!E$26:F$126,MATCH(F300,'Step 4 Stage Discharge'!E$26:E$126,1)+1,1)-INDEX('Step 4 Stage Discharge'!E$26:F$126,MATCH(F300,'Step 4 Stage Discharge'!E$26:E$126,1),1))</f>
        <v>0</v>
      </c>
      <c r="H300" s="149"/>
      <c r="I300" s="149">
        <f>INDEX('Step 4 Stage Discharge'!E$26:M$126,MATCH(F300,'Step 4 Stage Discharge'!E$26:E$126,1),9)+(INDEX('Step 4 Stage Discharge'!E$26:M$126,MATCH('Step 5 Routing'!F300,'Step 4 Stage Discharge'!E$26:E$126,1)+1,9)-INDEX('Step 4 Stage Discharge'!E$26:M$126,MATCH('Step 5 Routing'!F300,'Step 4 Stage Discharge'!E$26:E$126,1),9))*('Step 5 Routing'!F300-INDEX('Step 4 Stage Discharge'!E$26:M$126,MATCH('Step 5 Routing'!F300,'Step 4 Stage Discharge'!E$26:E$126,1),1))/(INDEX('Step 4 Stage Discharge'!E$26:M$126,MATCH('Step 5 Routing'!F300,'Step 4 Stage Discharge'!E$26:E$126,1)+1,1)-INDEX('Step 4 Stage Discharge'!E$26:M$126,MATCH('Step 5 Routing'!F300,'Step 4 Stage Discharge'!E$26:E$126,1),1))</f>
        <v>4.3639431710317386E-3</v>
      </c>
      <c r="J300" s="149"/>
      <c r="K300" s="6">
        <f t="shared" si="21"/>
        <v>0</v>
      </c>
      <c r="L300" s="6">
        <f t="shared" si="22"/>
        <v>0</v>
      </c>
    </row>
    <row r="301" spans="1:12">
      <c r="A301">
        <f t="shared" si="23"/>
        <v>288</v>
      </c>
      <c r="B301" s="136">
        <f>IF(C$5=Data!D$3,'Step 2 Inflow Hydrograph'!H345,IF(C$5=Data!D$4,'Step 2 Inflow Hydrograph'!I345,IF(C$5=Data!D$5,'Step 2 Inflow Hydrograph'!J345,'Step 2 Inflow Hydrograph'!K345)))</f>
        <v>0</v>
      </c>
      <c r="C301" s="127"/>
      <c r="D301" s="6">
        <f t="shared" si="20"/>
        <v>0</v>
      </c>
      <c r="E301" s="6"/>
      <c r="F301" s="6">
        <f t="shared" si="24"/>
        <v>0</v>
      </c>
      <c r="G301" s="149">
        <f>INDEX('Step 4 Stage Discharge'!E$26:F$126,MATCH(F301,'Step 4 Stage Discharge'!E$26:E$126,1),2)+(INDEX('Step 4 Stage Discharge'!E$26:F$126,MATCH(F301,'Step 4 Stage Discharge'!E$26:E$126,1)+1,2)-INDEX('Step 4 Stage Discharge'!E$26:F$126,MATCH(F301,'Step 4 Stage Discharge'!E$26:E$126,1),2))*(F301-INDEX('Step 4 Stage Discharge'!E$26:F$126,MATCH(F301,'Step 4 Stage Discharge'!E$26:E$126,1),1))/(INDEX('Step 4 Stage Discharge'!E$26:F$126,MATCH(F301,'Step 4 Stage Discharge'!E$26:E$126,1)+1,1)-INDEX('Step 4 Stage Discharge'!E$26:F$126,MATCH(F301,'Step 4 Stage Discharge'!E$26:E$126,1),1))</f>
        <v>0</v>
      </c>
      <c r="H301" s="149"/>
      <c r="I301" s="149">
        <f>INDEX('Step 4 Stage Discharge'!E$26:M$126,MATCH(F301,'Step 4 Stage Discharge'!E$26:E$126,1),9)+(INDEX('Step 4 Stage Discharge'!E$26:M$126,MATCH('Step 5 Routing'!F301,'Step 4 Stage Discharge'!E$26:E$126,1)+1,9)-INDEX('Step 4 Stage Discharge'!E$26:M$126,MATCH('Step 5 Routing'!F301,'Step 4 Stage Discharge'!E$26:E$126,1),9))*('Step 5 Routing'!F301-INDEX('Step 4 Stage Discharge'!E$26:M$126,MATCH('Step 5 Routing'!F301,'Step 4 Stage Discharge'!E$26:E$126,1),1))/(INDEX('Step 4 Stage Discharge'!E$26:M$126,MATCH('Step 5 Routing'!F301,'Step 4 Stage Discharge'!E$26:E$126,1)+1,1)-INDEX('Step 4 Stage Discharge'!E$26:M$126,MATCH('Step 5 Routing'!F301,'Step 4 Stage Discharge'!E$26:E$126,1),1))</f>
        <v>4.3639431710317386E-3</v>
      </c>
      <c r="J301" s="149"/>
      <c r="K301" s="6">
        <f t="shared" si="21"/>
        <v>0</v>
      </c>
      <c r="L301" s="6">
        <f t="shared" si="22"/>
        <v>0</v>
      </c>
    </row>
    <row r="302" spans="1:12">
      <c r="A302">
        <f t="shared" si="23"/>
        <v>289</v>
      </c>
      <c r="B302" s="136">
        <f>IF(C$5=Data!D$3,'Step 2 Inflow Hydrograph'!H346,IF(C$5=Data!D$4,'Step 2 Inflow Hydrograph'!I346,IF(C$5=Data!D$5,'Step 2 Inflow Hydrograph'!J346,'Step 2 Inflow Hydrograph'!K346)))</f>
        <v>0</v>
      </c>
      <c r="C302" s="127"/>
      <c r="D302" s="6">
        <f t="shared" si="20"/>
        <v>0</v>
      </c>
      <c r="E302" s="6"/>
      <c r="F302" s="6">
        <f t="shared" si="24"/>
        <v>0</v>
      </c>
      <c r="G302" s="149">
        <f>INDEX('Step 4 Stage Discharge'!E$26:F$126,MATCH(F302,'Step 4 Stage Discharge'!E$26:E$126,1),2)+(INDEX('Step 4 Stage Discharge'!E$26:F$126,MATCH(F302,'Step 4 Stage Discharge'!E$26:E$126,1)+1,2)-INDEX('Step 4 Stage Discharge'!E$26:F$126,MATCH(F302,'Step 4 Stage Discharge'!E$26:E$126,1),2))*(F302-INDEX('Step 4 Stage Discharge'!E$26:F$126,MATCH(F302,'Step 4 Stage Discharge'!E$26:E$126,1),1))/(INDEX('Step 4 Stage Discharge'!E$26:F$126,MATCH(F302,'Step 4 Stage Discharge'!E$26:E$126,1)+1,1)-INDEX('Step 4 Stage Discharge'!E$26:F$126,MATCH(F302,'Step 4 Stage Discharge'!E$26:E$126,1),1))</f>
        <v>0</v>
      </c>
      <c r="H302" s="149"/>
      <c r="I302" s="149">
        <f>INDEX('Step 4 Stage Discharge'!E$26:M$126,MATCH(F302,'Step 4 Stage Discharge'!E$26:E$126,1),9)+(INDEX('Step 4 Stage Discharge'!E$26:M$126,MATCH('Step 5 Routing'!F302,'Step 4 Stage Discharge'!E$26:E$126,1)+1,9)-INDEX('Step 4 Stage Discharge'!E$26:M$126,MATCH('Step 5 Routing'!F302,'Step 4 Stage Discharge'!E$26:E$126,1),9))*('Step 5 Routing'!F302-INDEX('Step 4 Stage Discharge'!E$26:M$126,MATCH('Step 5 Routing'!F302,'Step 4 Stage Discharge'!E$26:E$126,1),1))/(INDEX('Step 4 Stage Discharge'!E$26:M$126,MATCH('Step 5 Routing'!F302,'Step 4 Stage Discharge'!E$26:E$126,1)+1,1)-INDEX('Step 4 Stage Discharge'!E$26:M$126,MATCH('Step 5 Routing'!F302,'Step 4 Stage Discharge'!E$26:E$126,1),1))</f>
        <v>4.3639431710317386E-3</v>
      </c>
      <c r="J302" s="149"/>
      <c r="K302" s="6">
        <f t="shared" si="21"/>
        <v>0</v>
      </c>
      <c r="L302" s="6">
        <f t="shared" si="22"/>
        <v>0</v>
      </c>
    </row>
    <row r="303" spans="1:12">
      <c r="A303">
        <f t="shared" si="23"/>
        <v>290</v>
      </c>
      <c r="B303" s="136">
        <f>IF(C$5=Data!D$3,'Step 2 Inflow Hydrograph'!H347,IF(C$5=Data!D$4,'Step 2 Inflow Hydrograph'!I347,IF(C$5=Data!D$5,'Step 2 Inflow Hydrograph'!J347,'Step 2 Inflow Hydrograph'!K347)))</f>
        <v>0</v>
      </c>
      <c r="C303" s="127"/>
      <c r="D303" s="6">
        <f t="shared" si="20"/>
        <v>0</v>
      </c>
      <c r="E303" s="6"/>
      <c r="F303" s="6">
        <f t="shared" si="24"/>
        <v>0</v>
      </c>
      <c r="G303" s="149">
        <f>INDEX('Step 4 Stage Discharge'!E$26:F$126,MATCH(F303,'Step 4 Stage Discharge'!E$26:E$126,1),2)+(INDEX('Step 4 Stage Discharge'!E$26:F$126,MATCH(F303,'Step 4 Stage Discharge'!E$26:E$126,1)+1,2)-INDEX('Step 4 Stage Discharge'!E$26:F$126,MATCH(F303,'Step 4 Stage Discharge'!E$26:E$126,1),2))*(F303-INDEX('Step 4 Stage Discharge'!E$26:F$126,MATCH(F303,'Step 4 Stage Discharge'!E$26:E$126,1),1))/(INDEX('Step 4 Stage Discharge'!E$26:F$126,MATCH(F303,'Step 4 Stage Discharge'!E$26:E$126,1)+1,1)-INDEX('Step 4 Stage Discharge'!E$26:F$126,MATCH(F303,'Step 4 Stage Discharge'!E$26:E$126,1),1))</f>
        <v>0</v>
      </c>
      <c r="H303" s="149"/>
      <c r="I303" s="149">
        <f>INDEX('Step 4 Stage Discharge'!E$26:M$126,MATCH(F303,'Step 4 Stage Discharge'!E$26:E$126,1),9)+(INDEX('Step 4 Stage Discharge'!E$26:M$126,MATCH('Step 5 Routing'!F303,'Step 4 Stage Discharge'!E$26:E$126,1)+1,9)-INDEX('Step 4 Stage Discharge'!E$26:M$126,MATCH('Step 5 Routing'!F303,'Step 4 Stage Discharge'!E$26:E$126,1),9))*('Step 5 Routing'!F303-INDEX('Step 4 Stage Discharge'!E$26:M$126,MATCH('Step 5 Routing'!F303,'Step 4 Stage Discharge'!E$26:E$126,1),1))/(INDEX('Step 4 Stage Discharge'!E$26:M$126,MATCH('Step 5 Routing'!F303,'Step 4 Stage Discharge'!E$26:E$126,1)+1,1)-INDEX('Step 4 Stage Discharge'!E$26:M$126,MATCH('Step 5 Routing'!F303,'Step 4 Stage Discharge'!E$26:E$126,1),1))</f>
        <v>4.3639431710317386E-3</v>
      </c>
      <c r="J303" s="149"/>
      <c r="K303" s="6">
        <f t="shared" si="21"/>
        <v>0</v>
      </c>
      <c r="L303" s="6">
        <f t="shared" si="22"/>
        <v>0</v>
      </c>
    </row>
    <row r="304" spans="1:12">
      <c r="A304">
        <f t="shared" si="23"/>
        <v>291</v>
      </c>
      <c r="B304" s="136">
        <f>IF(C$5=Data!D$3,'Step 2 Inflow Hydrograph'!H348,IF(C$5=Data!D$4,'Step 2 Inflow Hydrograph'!I348,IF(C$5=Data!D$5,'Step 2 Inflow Hydrograph'!J348,'Step 2 Inflow Hydrograph'!K348)))</f>
        <v>0</v>
      </c>
      <c r="C304" s="127"/>
      <c r="D304" s="6">
        <f t="shared" si="20"/>
        <v>0</v>
      </c>
      <c r="E304" s="6"/>
      <c r="F304" s="6">
        <f t="shared" si="24"/>
        <v>0</v>
      </c>
      <c r="G304" s="149">
        <f>INDEX('Step 4 Stage Discharge'!E$26:F$126,MATCH(F304,'Step 4 Stage Discharge'!E$26:E$126,1),2)+(INDEX('Step 4 Stage Discharge'!E$26:F$126,MATCH(F304,'Step 4 Stage Discharge'!E$26:E$126,1)+1,2)-INDEX('Step 4 Stage Discharge'!E$26:F$126,MATCH(F304,'Step 4 Stage Discharge'!E$26:E$126,1),2))*(F304-INDEX('Step 4 Stage Discharge'!E$26:F$126,MATCH(F304,'Step 4 Stage Discharge'!E$26:E$126,1),1))/(INDEX('Step 4 Stage Discharge'!E$26:F$126,MATCH(F304,'Step 4 Stage Discharge'!E$26:E$126,1)+1,1)-INDEX('Step 4 Stage Discharge'!E$26:F$126,MATCH(F304,'Step 4 Stage Discharge'!E$26:E$126,1),1))</f>
        <v>0</v>
      </c>
      <c r="H304" s="149"/>
      <c r="I304" s="149">
        <f>INDEX('Step 4 Stage Discharge'!E$26:M$126,MATCH(F304,'Step 4 Stage Discharge'!E$26:E$126,1),9)+(INDEX('Step 4 Stage Discharge'!E$26:M$126,MATCH('Step 5 Routing'!F304,'Step 4 Stage Discharge'!E$26:E$126,1)+1,9)-INDEX('Step 4 Stage Discharge'!E$26:M$126,MATCH('Step 5 Routing'!F304,'Step 4 Stage Discharge'!E$26:E$126,1),9))*('Step 5 Routing'!F304-INDEX('Step 4 Stage Discharge'!E$26:M$126,MATCH('Step 5 Routing'!F304,'Step 4 Stage Discharge'!E$26:E$126,1),1))/(INDEX('Step 4 Stage Discharge'!E$26:M$126,MATCH('Step 5 Routing'!F304,'Step 4 Stage Discharge'!E$26:E$126,1)+1,1)-INDEX('Step 4 Stage Discharge'!E$26:M$126,MATCH('Step 5 Routing'!F304,'Step 4 Stage Discharge'!E$26:E$126,1),1))</f>
        <v>4.3639431710317386E-3</v>
      </c>
      <c r="J304" s="149"/>
      <c r="K304" s="6">
        <f t="shared" si="21"/>
        <v>0</v>
      </c>
      <c r="L304" s="6">
        <f t="shared" si="22"/>
        <v>0</v>
      </c>
    </row>
    <row r="305" spans="1:12">
      <c r="A305">
        <f t="shared" si="23"/>
        <v>292</v>
      </c>
      <c r="B305" s="136">
        <f>IF(C$5=Data!D$3,'Step 2 Inflow Hydrograph'!H349,IF(C$5=Data!D$4,'Step 2 Inflow Hydrograph'!I349,IF(C$5=Data!D$5,'Step 2 Inflow Hydrograph'!J349,'Step 2 Inflow Hydrograph'!K349)))</f>
        <v>0</v>
      </c>
      <c r="C305" s="127"/>
      <c r="D305" s="6">
        <f t="shared" si="20"/>
        <v>0</v>
      </c>
      <c r="E305" s="6"/>
      <c r="F305" s="6">
        <f t="shared" si="24"/>
        <v>0</v>
      </c>
      <c r="G305" s="149">
        <f>INDEX('Step 4 Stage Discharge'!E$26:F$126,MATCH(F305,'Step 4 Stage Discharge'!E$26:E$126,1),2)+(INDEX('Step 4 Stage Discharge'!E$26:F$126,MATCH(F305,'Step 4 Stage Discharge'!E$26:E$126,1)+1,2)-INDEX('Step 4 Stage Discharge'!E$26:F$126,MATCH(F305,'Step 4 Stage Discharge'!E$26:E$126,1),2))*(F305-INDEX('Step 4 Stage Discharge'!E$26:F$126,MATCH(F305,'Step 4 Stage Discharge'!E$26:E$126,1),1))/(INDEX('Step 4 Stage Discharge'!E$26:F$126,MATCH(F305,'Step 4 Stage Discharge'!E$26:E$126,1)+1,1)-INDEX('Step 4 Stage Discharge'!E$26:F$126,MATCH(F305,'Step 4 Stage Discharge'!E$26:E$126,1),1))</f>
        <v>0</v>
      </c>
      <c r="H305" s="149"/>
      <c r="I305" s="149">
        <f>INDEX('Step 4 Stage Discharge'!E$26:M$126,MATCH(F305,'Step 4 Stage Discharge'!E$26:E$126,1),9)+(INDEX('Step 4 Stage Discharge'!E$26:M$126,MATCH('Step 5 Routing'!F305,'Step 4 Stage Discharge'!E$26:E$126,1)+1,9)-INDEX('Step 4 Stage Discharge'!E$26:M$126,MATCH('Step 5 Routing'!F305,'Step 4 Stage Discharge'!E$26:E$126,1),9))*('Step 5 Routing'!F305-INDEX('Step 4 Stage Discharge'!E$26:M$126,MATCH('Step 5 Routing'!F305,'Step 4 Stage Discharge'!E$26:E$126,1),1))/(INDEX('Step 4 Stage Discharge'!E$26:M$126,MATCH('Step 5 Routing'!F305,'Step 4 Stage Discharge'!E$26:E$126,1)+1,1)-INDEX('Step 4 Stage Discharge'!E$26:M$126,MATCH('Step 5 Routing'!F305,'Step 4 Stage Discharge'!E$26:E$126,1),1))</f>
        <v>4.3639431710317386E-3</v>
      </c>
      <c r="J305" s="149"/>
      <c r="K305" s="6">
        <f t="shared" si="21"/>
        <v>0</v>
      </c>
      <c r="L305" s="6">
        <f t="shared" si="22"/>
        <v>0</v>
      </c>
    </row>
    <row r="306" spans="1:12">
      <c r="A306">
        <f t="shared" si="23"/>
        <v>293</v>
      </c>
      <c r="B306" s="136">
        <f>IF(C$5=Data!D$3,'Step 2 Inflow Hydrograph'!H350,IF(C$5=Data!D$4,'Step 2 Inflow Hydrograph'!I350,IF(C$5=Data!D$5,'Step 2 Inflow Hydrograph'!J350,'Step 2 Inflow Hydrograph'!K350)))</f>
        <v>0</v>
      </c>
      <c r="C306" s="127"/>
      <c r="D306" s="6">
        <f t="shared" si="20"/>
        <v>0</v>
      </c>
      <c r="E306" s="6"/>
      <c r="F306" s="6">
        <f t="shared" si="24"/>
        <v>0</v>
      </c>
      <c r="G306" s="149">
        <f>INDEX('Step 4 Stage Discharge'!E$26:F$126,MATCH(F306,'Step 4 Stage Discharge'!E$26:E$126,1),2)+(INDEX('Step 4 Stage Discharge'!E$26:F$126,MATCH(F306,'Step 4 Stage Discharge'!E$26:E$126,1)+1,2)-INDEX('Step 4 Stage Discharge'!E$26:F$126,MATCH(F306,'Step 4 Stage Discharge'!E$26:E$126,1),2))*(F306-INDEX('Step 4 Stage Discharge'!E$26:F$126,MATCH(F306,'Step 4 Stage Discharge'!E$26:E$126,1),1))/(INDEX('Step 4 Stage Discharge'!E$26:F$126,MATCH(F306,'Step 4 Stage Discharge'!E$26:E$126,1)+1,1)-INDEX('Step 4 Stage Discharge'!E$26:F$126,MATCH(F306,'Step 4 Stage Discharge'!E$26:E$126,1),1))</f>
        <v>0</v>
      </c>
      <c r="H306" s="149"/>
      <c r="I306" s="149">
        <f>INDEX('Step 4 Stage Discharge'!E$26:M$126,MATCH(F306,'Step 4 Stage Discharge'!E$26:E$126,1),9)+(INDEX('Step 4 Stage Discharge'!E$26:M$126,MATCH('Step 5 Routing'!F306,'Step 4 Stage Discharge'!E$26:E$126,1)+1,9)-INDEX('Step 4 Stage Discharge'!E$26:M$126,MATCH('Step 5 Routing'!F306,'Step 4 Stage Discharge'!E$26:E$126,1),9))*('Step 5 Routing'!F306-INDEX('Step 4 Stage Discharge'!E$26:M$126,MATCH('Step 5 Routing'!F306,'Step 4 Stage Discharge'!E$26:E$126,1),1))/(INDEX('Step 4 Stage Discharge'!E$26:M$126,MATCH('Step 5 Routing'!F306,'Step 4 Stage Discharge'!E$26:E$126,1)+1,1)-INDEX('Step 4 Stage Discharge'!E$26:M$126,MATCH('Step 5 Routing'!F306,'Step 4 Stage Discharge'!E$26:E$126,1),1))</f>
        <v>4.3639431710317386E-3</v>
      </c>
      <c r="J306" s="149"/>
      <c r="K306" s="6">
        <f t="shared" si="21"/>
        <v>0</v>
      </c>
      <c r="L306" s="6">
        <f t="shared" si="22"/>
        <v>0</v>
      </c>
    </row>
    <row r="307" spans="1:12">
      <c r="A307">
        <f t="shared" si="23"/>
        <v>294</v>
      </c>
      <c r="B307" s="136">
        <f>IF(C$5=Data!D$3,'Step 2 Inflow Hydrograph'!H351,IF(C$5=Data!D$4,'Step 2 Inflow Hydrograph'!I351,IF(C$5=Data!D$5,'Step 2 Inflow Hydrograph'!J351,'Step 2 Inflow Hydrograph'!K351)))</f>
        <v>0</v>
      </c>
      <c r="C307" s="127"/>
      <c r="D307" s="6">
        <f t="shared" si="20"/>
        <v>0</v>
      </c>
      <c r="E307" s="6"/>
      <c r="F307" s="6">
        <f t="shared" si="24"/>
        <v>0</v>
      </c>
      <c r="G307" s="149">
        <f>INDEX('Step 4 Stage Discharge'!E$26:F$126,MATCH(F307,'Step 4 Stage Discharge'!E$26:E$126,1),2)+(INDEX('Step 4 Stage Discharge'!E$26:F$126,MATCH(F307,'Step 4 Stage Discharge'!E$26:E$126,1)+1,2)-INDEX('Step 4 Stage Discharge'!E$26:F$126,MATCH(F307,'Step 4 Stage Discharge'!E$26:E$126,1),2))*(F307-INDEX('Step 4 Stage Discharge'!E$26:F$126,MATCH(F307,'Step 4 Stage Discharge'!E$26:E$126,1),1))/(INDEX('Step 4 Stage Discharge'!E$26:F$126,MATCH(F307,'Step 4 Stage Discharge'!E$26:E$126,1)+1,1)-INDEX('Step 4 Stage Discharge'!E$26:F$126,MATCH(F307,'Step 4 Stage Discharge'!E$26:E$126,1),1))</f>
        <v>0</v>
      </c>
      <c r="H307" s="149"/>
      <c r="I307" s="149">
        <f>INDEX('Step 4 Stage Discharge'!E$26:M$126,MATCH(F307,'Step 4 Stage Discharge'!E$26:E$126,1),9)+(INDEX('Step 4 Stage Discharge'!E$26:M$126,MATCH('Step 5 Routing'!F307,'Step 4 Stage Discharge'!E$26:E$126,1)+1,9)-INDEX('Step 4 Stage Discharge'!E$26:M$126,MATCH('Step 5 Routing'!F307,'Step 4 Stage Discharge'!E$26:E$126,1),9))*('Step 5 Routing'!F307-INDEX('Step 4 Stage Discharge'!E$26:M$126,MATCH('Step 5 Routing'!F307,'Step 4 Stage Discharge'!E$26:E$126,1),1))/(INDEX('Step 4 Stage Discharge'!E$26:M$126,MATCH('Step 5 Routing'!F307,'Step 4 Stage Discharge'!E$26:E$126,1)+1,1)-INDEX('Step 4 Stage Discharge'!E$26:M$126,MATCH('Step 5 Routing'!F307,'Step 4 Stage Discharge'!E$26:E$126,1),1))</f>
        <v>4.3639431710317386E-3</v>
      </c>
      <c r="J307" s="149"/>
      <c r="K307" s="6">
        <f t="shared" si="21"/>
        <v>0</v>
      </c>
      <c r="L307" s="6">
        <f t="shared" si="22"/>
        <v>0</v>
      </c>
    </row>
    <row r="308" spans="1:12">
      <c r="A308">
        <f t="shared" si="23"/>
        <v>295</v>
      </c>
      <c r="B308" s="136">
        <f>IF(C$5=Data!D$3,'Step 2 Inflow Hydrograph'!H352,IF(C$5=Data!D$4,'Step 2 Inflow Hydrograph'!I352,IF(C$5=Data!D$5,'Step 2 Inflow Hydrograph'!J352,'Step 2 Inflow Hydrograph'!K352)))</f>
        <v>0</v>
      </c>
      <c r="C308" s="127"/>
      <c r="D308" s="6">
        <f t="shared" si="20"/>
        <v>0</v>
      </c>
      <c r="E308" s="6"/>
      <c r="F308" s="6">
        <f t="shared" si="24"/>
        <v>0</v>
      </c>
      <c r="G308" s="149">
        <f>INDEX('Step 4 Stage Discharge'!E$26:F$126,MATCH(F308,'Step 4 Stage Discharge'!E$26:E$126,1),2)+(INDEX('Step 4 Stage Discharge'!E$26:F$126,MATCH(F308,'Step 4 Stage Discharge'!E$26:E$126,1)+1,2)-INDEX('Step 4 Stage Discharge'!E$26:F$126,MATCH(F308,'Step 4 Stage Discharge'!E$26:E$126,1),2))*(F308-INDEX('Step 4 Stage Discharge'!E$26:F$126,MATCH(F308,'Step 4 Stage Discharge'!E$26:E$126,1),1))/(INDEX('Step 4 Stage Discharge'!E$26:F$126,MATCH(F308,'Step 4 Stage Discharge'!E$26:E$126,1)+1,1)-INDEX('Step 4 Stage Discharge'!E$26:F$126,MATCH(F308,'Step 4 Stage Discharge'!E$26:E$126,1),1))</f>
        <v>0</v>
      </c>
      <c r="H308" s="149"/>
      <c r="I308" s="149">
        <f>INDEX('Step 4 Stage Discharge'!E$26:M$126,MATCH(F308,'Step 4 Stage Discharge'!E$26:E$126,1),9)+(INDEX('Step 4 Stage Discharge'!E$26:M$126,MATCH('Step 5 Routing'!F308,'Step 4 Stage Discharge'!E$26:E$126,1)+1,9)-INDEX('Step 4 Stage Discharge'!E$26:M$126,MATCH('Step 5 Routing'!F308,'Step 4 Stage Discharge'!E$26:E$126,1),9))*('Step 5 Routing'!F308-INDEX('Step 4 Stage Discharge'!E$26:M$126,MATCH('Step 5 Routing'!F308,'Step 4 Stage Discharge'!E$26:E$126,1),1))/(INDEX('Step 4 Stage Discharge'!E$26:M$126,MATCH('Step 5 Routing'!F308,'Step 4 Stage Discharge'!E$26:E$126,1)+1,1)-INDEX('Step 4 Stage Discharge'!E$26:M$126,MATCH('Step 5 Routing'!F308,'Step 4 Stage Discharge'!E$26:E$126,1),1))</f>
        <v>4.3639431710317386E-3</v>
      </c>
      <c r="J308" s="149"/>
      <c r="K308" s="6">
        <f t="shared" si="21"/>
        <v>0</v>
      </c>
      <c r="L308" s="6">
        <f t="shared" si="22"/>
        <v>0</v>
      </c>
    </row>
    <row r="309" spans="1:12">
      <c r="A309">
        <f t="shared" si="23"/>
        <v>296</v>
      </c>
      <c r="B309" s="136">
        <f>IF(C$5=Data!D$3,'Step 2 Inflow Hydrograph'!H353,IF(C$5=Data!D$4,'Step 2 Inflow Hydrograph'!I353,IF(C$5=Data!D$5,'Step 2 Inflow Hydrograph'!J353,'Step 2 Inflow Hydrograph'!K353)))</f>
        <v>0</v>
      </c>
      <c r="C309" s="127"/>
      <c r="D309" s="6">
        <f t="shared" si="20"/>
        <v>0</v>
      </c>
      <c r="E309" s="6"/>
      <c r="F309" s="6">
        <f t="shared" si="24"/>
        <v>0</v>
      </c>
      <c r="G309" s="149">
        <f>INDEX('Step 4 Stage Discharge'!E$26:F$126,MATCH(F309,'Step 4 Stage Discharge'!E$26:E$126,1),2)+(INDEX('Step 4 Stage Discharge'!E$26:F$126,MATCH(F309,'Step 4 Stage Discharge'!E$26:E$126,1)+1,2)-INDEX('Step 4 Stage Discharge'!E$26:F$126,MATCH(F309,'Step 4 Stage Discharge'!E$26:E$126,1),2))*(F309-INDEX('Step 4 Stage Discharge'!E$26:F$126,MATCH(F309,'Step 4 Stage Discharge'!E$26:E$126,1),1))/(INDEX('Step 4 Stage Discharge'!E$26:F$126,MATCH(F309,'Step 4 Stage Discharge'!E$26:E$126,1)+1,1)-INDEX('Step 4 Stage Discharge'!E$26:F$126,MATCH(F309,'Step 4 Stage Discharge'!E$26:E$126,1),1))</f>
        <v>0</v>
      </c>
      <c r="H309" s="149"/>
      <c r="I309" s="149">
        <f>INDEX('Step 4 Stage Discharge'!E$26:M$126,MATCH(F309,'Step 4 Stage Discharge'!E$26:E$126,1),9)+(INDEX('Step 4 Stage Discharge'!E$26:M$126,MATCH('Step 5 Routing'!F309,'Step 4 Stage Discharge'!E$26:E$126,1)+1,9)-INDEX('Step 4 Stage Discharge'!E$26:M$126,MATCH('Step 5 Routing'!F309,'Step 4 Stage Discharge'!E$26:E$126,1),9))*('Step 5 Routing'!F309-INDEX('Step 4 Stage Discharge'!E$26:M$126,MATCH('Step 5 Routing'!F309,'Step 4 Stage Discharge'!E$26:E$126,1),1))/(INDEX('Step 4 Stage Discharge'!E$26:M$126,MATCH('Step 5 Routing'!F309,'Step 4 Stage Discharge'!E$26:E$126,1)+1,1)-INDEX('Step 4 Stage Discharge'!E$26:M$126,MATCH('Step 5 Routing'!F309,'Step 4 Stage Discharge'!E$26:E$126,1),1))</f>
        <v>4.3639431710317386E-3</v>
      </c>
      <c r="J309" s="149"/>
      <c r="K309" s="6">
        <f t="shared" si="21"/>
        <v>0</v>
      </c>
      <c r="L309" s="6">
        <f t="shared" si="22"/>
        <v>0</v>
      </c>
    </row>
    <row r="310" spans="1:12">
      <c r="A310">
        <f t="shared" si="23"/>
        <v>297</v>
      </c>
      <c r="B310" s="136">
        <f>IF(C$5=Data!D$3,'Step 2 Inflow Hydrograph'!H354,IF(C$5=Data!D$4,'Step 2 Inflow Hydrograph'!I354,IF(C$5=Data!D$5,'Step 2 Inflow Hydrograph'!J354,'Step 2 Inflow Hydrograph'!K354)))</f>
        <v>0</v>
      </c>
      <c r="C310" s="127"/>
      <c r="D310" s="6">
        <f t="shared" si="20"/>
        <v>0</v>
      </c>
      <c r="E310" s="6"/>
      <c r="F310" s="6">
        <f t="shared" si="24"/>
        <v>0</v>
      </c>
      <c r="G310" s="149">
        <f>INDEX('Step 4 Stage Discharge'!E$26:F$126,MATCH(F310,'Step 4 Stage Discharge'!E$26:E$126,1),2)+(INDEX('Step 4 Stage Discharge'!E$26:F$126,MATCH(F310,'Step 4 Stage Discharge'!E$26:E$126,1)+1,2)-INDEX('Step 4 Stage Discharge'!E$26:F$126,MATCH(F310,'Step 4 Stage Discharge'!E$26:E$126,1),2))*(F310-INDEX('Step 4 Stage Discharge'!E$26:F$126,MATCH(F310,'Step 4 Stage Discharge'!E$26:E$126,1),1))/(INDEX('Step 4 Stage Discharge'!E$26:F$126,MATCH(F310,'Step 4 Stage Discharge'!E$26:E$126,1)+1,1)-INDEX('Step 4 Stage Discharge'!E$26:F$126,MATCH(F310,'Step 4 Stage Discharge'!E$26:E$126,1),1))</f>
        <v>0</v>
      </c>
      <c r="H310" s="149"/>
      <c r="I310" s="149">
        <f>INDEX('Step 4 Stage Discharge'!E$26:M$126,MATCH(F310,'Step 4 Stage Discharge'!E$26:E$126,1),9)+(INDEX('Step 4 Stage Discharge'!E$26:M$126,MATCH('Step 5 Routing'!F310,'Step 4 Stage Discharge'!E$26:E$126,1)+1,9)-INDEX('Step 4 Stage Discharge'!E$26:M$126,MATCH('Step 5 Routing'!F310,'Step 4 Stage Discharge'!E$26:E$126,1),9))*('Step 5 Routing'!F310-INDEX('Step 4 Stage Discharge'!E$26:M$126,MATCH('Step 5 Routing'!F310,'Step 4 Stage Discharge'!E$26:E$126,1),1))/(INDEX('Step 4 Stage Discharge'!E$26:M$126,MATCH('Step 5 Routing'!F310,'Step 4 Stage Discharge'!E$26:E$126,1)+1,1)-INDEX('Step 4 Stage Discharge'!E$26:M$126,MATCH('Step 5 Routing'!F310,'Step 4 Stage Discharge'!E$26:E$126,1),1))</f>
        <v>4.3639431710317386E-3</v>
      </c>
      <c r="J310" s="149"/>
      <c r="K310" s="6">
        <f t="shared" si="21"/>
        <v>0</v>
      </c>
      <c r="L310" s="6">
        <f t="shared" si="22"/>
        <v>0</v>
      </c>
    </row>
    <row r="311" spans="1:12">
      <c r="A311">
        <f t="shared" si="23"/>
        <v>298</v>
      </c>
      <c r="B311" s="136">
        <f>IF(C$5=Data!D$3,'Step 2 Inflow Hydrograph'!H355,IF(C$5=Data!D$4,'Step 2 Inflow Hydrograph'!I355,IF(C$5=Data!D$5,'Step 2 Inflow Hydrograph'!J355,'Step 2 Inflow Hydrograph'!K355)))</f>
        <v>0</v>
      </c>
      <c r="C311" s="127"/>
      <c r="D311" s="6">
        <f t="shared" si="20"/>
        <v>0</v>
      </c>
      <c r="E311" s="6"/>
      <c r="F311" s="6">
        <f t="shared" si="24"/>
        <v>0</v>
      </c>
      <c r="G311" s="149">
        <f>INDEX('Step 4 Stage Discharge'!E$26:F$126,MATCH(F311,'Step 4 Stage Discharge'!E$26:E$126,1),2)+(INDEX('Step 4 Stage Discharge'!E$26:F$126,MATCH(F311,'Step 4 Stage Discharge'!E$26:E$126,1)+1,2)-INDEX('Step 4 Stage Discharge'!E$26:F$126,MATCH(F311,'Step 4 Stage Discharge'!E$26:E$126,1),2))*(F311-INDEX('Step 4 Stage Discharge'!E$26:F$126,MATCH(F311,'Step 4 Stage Discharge'!E$26:E$126,1),1))/(INDEX('Step 4 Stage Discharge'!E$26:F$126,MATCH(F311,'Step 4 Stage Discharge'!E$26:E$126,1)+1,1)-INDEX('Step 4 Stage Discharge'!E$26:F$126,MATCH(F311,'Step 4 Stage Discharge'!E$26:E$126,1),1))</f>
        <v>0</v>
      </c>
      <c r="H311" s="149"/>
      <c r="I311" s="149">
        <f>INDEX('Step 4 Stage Discharge'!E$26:M$126,MATCH(F311,'Step 4 Stage Discharge'!E$26:E$126,1),9)+(INDEX('Step 4 Stage Discharge'!E$26:M$126,MATCH('Step 5 Routing'!F311,'Step 4 Stage Discharge'!E$26:E$126,1)+1,9)-INDEX('Step 4 Stage Discharge'!E$26:M$126,MATCH('Step 5 Routing'!F311,'Step 4 Stage Discharge'!E$26:E$126,1),9))*('Step 5 Routing'!F311-INDEX('Step 4 Stage Discharge'!E$26:M$126,MATCH('Step 5 Routing'!F311,'Step 4 Stage Discharge'!E$26:E$126,1),1))/(INDEX('Step 4 Stage Discharge'!E$26:M$126,MATCH('Step 5 Routing'!F311,'Step 4 Stage Discharge'!E$26:E$126,1)+1,1)-INDEX('Step 4 Stage Discharge'!E$26:M$126,MATCH('Step 5 Routing'!F311,'Step 4 Stage Discharge'!E$26:E$126,1),1))</f>
        <v>4.3639431710317386E-3</v>
      </c>
      <c r="J311" s="149"/>
      <c r="K311" s="6">
        <f t="shared" si="21"/>
        <v>0</v>
      </c>
      <c r="L311" s="6">
        <f t="shared" si="22"/>
        <v>0</v>
      </c>
    </row>
    <row r="312" spans="1:12">
      <c r="A312">
        <f t="shared" si="23"/>
        <v>299</v>
      </c>
      <c r="B312" s="136">
        <f>IF(C$5=Data!D$3,'Step 2 Inflow Hydrograph'!H356,IF(C$5=Data!D$4,'Step 2 Inflow Hydrograph'!I356,IF(C$5=Data!D$5,'Step 2 Inflow Hydrograph'!J356,'Step 2 Inflow Hydrograph'!K356)))</f>
        <v>0</v>
      </c>
      <c r="C312" s="127"/>
      <c r="D312" s="6">
        <f t="shared" si="20"/>
        <v>0</v>
      </c>
      <c r="E312" s="6"/>
      <c r="F312" s="6">
        <f t="shared" si="24"/>
        <v>0</v>
      </c>
      <c r="G312" s="149">
        <f>INDEX('Step 4 Stage Discharge'!E$26:F$126,MATCH(F312,'Step 4 Stage Discharge'!E$26:E$126,1),2)+(INDEX('Step 4 Stage Discharge'!E$26:F$126,MATCH(F312,'Step 4 Stage Discharge'!E$26:E$126,1)+1,2)-INDEX('Step 4 Stage Discharge'!E$26:F$126,MATCH(F312,'Step 4 Stage Discharge'!E$26:E$126,1),2))*(F312-INDEX('Step 4 Stage Discharge'!E$26:F$126,MATCH(F312,'Step 4 Stage Discharge'!E$26:E$126,1),1))/(INDEX('Step 4 Stage Discharge'!E$26:F$126,MATCH(F312,'Step 4 Stage Discharge'!E$26:E$126,1)+1,1)-INDEX('Step 4 Stage Discharge'!E$26:F$126,MATCH(F312,'Step 4 Stage Discharge'!E$26:E$126,1),1))</f>
        <v>0</v>
      </c>
      <c r="H312" s="149"/>
      <c r="I312" s="149">
        <f>INDEX('Step 4 Stage Discharge'!E$26:M$126,MATCH(F312,'Step 4 Stage Discharge'!E$26:E$126,1),9)+(INDEX('Step 4 Stage Discharge'!E$26:M$126,MATCH('Step 5 Routing'!F312,'Step 4 Stage Discharge'!E$26:E$126,1)+1,9)-INDEX('Step 4 Stage Discharge'!E$26:M$126,MATCH('Step 5 Routing'!F312,'Step 4 Stage Discharge'!E$26:E$126,1),9))*('Step 5 Routing'!F312-INDEX('Step 4 Stage Discharge'!E$26:M$126,MATCH('Step 5 Routing'!F312,'Step 4 Stage Discharge'!E$26:E$126,1),1))/(INDEX('Step 4 Stage Discharge'!E$26:M$126,MATCH('Step 5 Routing'!F312,'Step 4 Stage Discharge'!E$26:E$126,1)+1,1)-INDEX('Step 4 Stage Discharge'!E$26:M$126,MATCH('Step 5 Routing'!F312,'Step 4 Stage Discharge'!E$26:E$126,1),1))</f>
        <v>4.3639431710317386E-3</v>
      </c>
      <c r="J312" s="149"/>
      <c r="K312" s="6">
        <f t="shared" si="21"/>
        <v>0</v>
      </c>
      <c r="L312" s="6">
        <f t="shared" si="22"/>
        <v>0</v>
      </c>
    </row>
    <row r="313" spans="1:12">
      <c r="A313">
        <f t="shared" si="23"/>
        <v>300</v>
      </c>
      <c r="B313" s="136">
        <f>IF(C$5=Data!D$3,'Step 2 Inflow Hydrograph'!H357,IF(C$5=Data!D$4,'Step 2 Inflow Hydrograph'!I357,IF(C$5=Data!D$5,'Step 2 Inflow Hydrograph'!J357,'Step 2 Inflow Hydrograph'!K357)))</f>
        <v>0</v>
      </c>
      <c r="C313" s="127"/>
      <c r="D313" s="6">
        <f t="shared" si="20"/>
        <v>0</v>
      </c>
      <c r="E313" s="6"/>
      <c r="F313" s="6">
        <f t="shared" si="24"/>
        <v>0</v>
      </c>
      <c r="G313" s="149">
        <f>INDEX('Step 4 Stage Discharge'!E$26:F$126,MATCH(F313,'Step 4 Stage Discharge'!E$26:E$126,1),2)+(INDEX('Step 4 Stage Discharge'!E$26:F$126,MATCH(F313,'Step 4 Stage Discharge'!E$26:E$126,1)+1,2)-INDEX('Step 4 Stage Discharge'!E$26:F$126,MATCH(F313,'Step 4 Stage Discharge'!E$26:E$126,1),2))*(F313-INDEX('Step 4 Stage Discharge'!E$26:F$126,MATCH(F313,'Step 4 Stage Discharge'!E$26:E$126,1),1))/(INDEX('Step 4 Stage Discharge'!E$26:F$126,MATCH(F313,'Step 4 Stage Discharge'!E$26:E$126,1)+1,1)-INDEX('Step 4 Stage Discharge'!E$26:F$126,MATCH(F313,'Step 4 Stage Discharge'!E$26:E$126,1),1))</f>
        <v>0</v>
      </c>
      <c r="H313" s="149"/>
      <c r="I313" s="149">
        <f>INDEX('Step 4 Stage Discharge'!E$26:M$126,MATCH(F313,'Step 4 Stage Discharge'!E$26:E$126,1),9)+(INDEX('Step 4 Stage Discharge'!E$26:M$126,MATCH('Step 5 Routing'!F313,'Step 4 Stage Discharge'!E$26:E$126,1)+1,9)-INDEX('Step 4 Stage Discharge'!E$26:M$126,MATCH('Step 5 Routing'!F313,'Step 4 Stage Discharge'!E$26:E$126,1),9))*('Step 5 Routing'!F313-INDEX('Step 4 Stage Discharge'!E$26:M$126,MATCH('Step 5 Routing'!F313,'Step 4 Stage Discharge'!E$26:E$126,1),1))/(INDEX('Step 4 Stage Discharge'!E$26:M$126,MATCH('Step 5 Routing'!F313,'Step 4 Stage Discharge'!E$26:E$126,1)+1,1)-INDEX('Step 4 Stage Discharge'!E$26:M$126,MATCH('Step 5 Routing'!F313,'Step 4 Stage Discharge'!E$26:E$126,1),1))</f>
        <v>4.3639431710317386E-3</v>
      </c>
      <c r="J313" s="149"/>
      <c r="K313" s="6">
        <f t="shared" si="21"/>
        <v>0</v>
      </c>
      <c r="L313" s="6">
        <f t="shared" si="22"/>
        <v>0</v>
      </c>
    </row>
    <row r="314" spans="1:12">
      <c r="A314">
        <f t="shared" si="23"/>
        <v>301</v>
      </c>
      <c r="B314" s="136">
        <f>IF(C$5=Data!D$3,'Step 2 Inflow Hydrograph'!H358,IF(C$5=Data!D$4,'Step 2 Inflow Hydrograph'!I358,IF(C$5=Data!D$5,'Step 2 Inflow Hydrograph'!J358,'Step 2 Inflow Hydrograph'!K358)))</f>
        <v>0</v>
      </c>
      <c r="C314" s="127"/>
      <c r="D314" s="6">
        <f t="shared" si="20"/>
        <v>0</v>
      </c>
      <c r="E314" s="6"/>
      <c r="F314" s="6">
        <f t="shared" si="24"/>
        <v>0</v>
      </c>
      <c r="G314" s="149">
        <f>INDEX('Step 4 Stage Discharge'!E$26:F$126,MATCH(F314,'Step 4 Stage Discharge'!E$26:E$126,1),2)+(INDEX('Step 4 Stage Discharge'!E$26:F$126,MATCH(F314,'Step 4 Stage Discharge'!E$26:E$126,1)+1,2)-INDEX('Step 4 Stage Discharge'!E$26:F$126,MATCH(F314,'Step 4 Stage Discharge'!E$26:E$126,1),2))*(F314-INDEX('Step 4 Stage Discharge'!E$26:F$126,MATCH(F314,'Step 4 Stage Discharge'!E$26:E$126,1),1))/(INDEX('Step 4 Stage Discharge'!E$26:F$126,MATCH(F314,'Step 4 Stage Discharge'!E$26:E$126,1)+1,1)-INDEX('Step 4 Stage Discharge'!E$26:F$126,MATCH(F314,'Step 4 Stage Discharge'!E$26:E$126,1),1))</f>
        <v>0</v>
      </c>
      <c r="H314" s="149"/>
      <c r="I314" s="149">
        <f>INDEX('Step 4 Stage Discharge'!E$26:M$126,MATCH(F314,'Step 4 Stage Discharge'!E$26:E$126,1),9)+(INDEX('Step 4 Stage Discharge'!E$26:M$126,MATCH('Step 5 Routing'!F314,'Step 4 Stage Discharge'!E$26:E$126,1)+1,9)-INDEX('Step 4 Stage Discharge'!E$26:M$126,MATCH('Step 5 Routing'!F314,'Step 4 Stage Discharge'!E$26:E$126,1),9))*('Step 5 Routing'!F314-INDEX('Step 4 Stage Discharge'!E$26:M$126,MATCH('Step 5 Routing'!F314,'Step 4 Stage Discharge'!E$26:E$126,1),1))/(INDEX('Step 4 Stage Discharge'!E$26:M$126,MATCH('Step 5 Routing'!F314,'Step 4 Stage Discharge'!E$26:E$126,1)+1,1)-INDEX('Step 4 Stage Discharge'!E$26:M$126,MATCH('Step 5 Routing'!F314,'Step 4 Stage Discharge'!E$26:E$126,1),1))</f>
        <v>4.3639431710317386E-3</v>
      </c>
      <c r="J314" s="149"/>
      <c r="K314" s="6">
        <f t="shared" si="21"/>
        <v>0</v>
      </c>
      <c r="L314" s="6">
        <f t="shared" si="22"/>
        <v>0</v>
      </c>
    </row>
    <row r="315" spans="1:12">
      <c r="A315">
        <f t="shared" si="23"/>
        <v>302</v>
      </c>
      <c r="B315" s="136">
        <f>IF(C$5=Data!D$3,'Step 2 Inflow Hydrograph'!H359,IF(C$5=Data!D$4,'Step 2 Inflow Hydrograph'!I359,IF(C$5=Data!D$5,'Step 2 Inflow Hydrograph'!J359,'Step 2 Inflow Hydrograph'!K359)))</f>
        <v>0</v>
      </c>
      <c r="C315" s="127"/>
      <c r="D315" s="6">
        <f t="shared" si="20"/>
        <v>0</v>
      </c>
      <c r="E315" s="6"/>
      <c r="F315" s="6">
        <f t="shared" si="24"/>
        <v>0</v>
      </c>
      <c r="G315" s="149">
        <f>INDEX('Step 4 Stage Discharge'!E$26:F$126,MATCH(F315,'Step 4 Stage Discharge'!E$26:E$126,1),2)+(INDEX('Step 4 Stage Discharge'!E$26:F$126,MATCH(F315,'Step 4 Stage Discharge'!E$26:E$126,1)+1,2)-INDEX('Step 4 Stage Discharge'!E$26:F$126,MATCH(F315,'Step 4 Stage Discharge'!E$26:E$126,1),2))*(F315-INDEX('Step 4 Stage Discharge'!E$26:F$126,MATCH(F315,'Step 4 Stage Discharge'!E$26:E$126,1),1))/(INDEX('Step 4 Stage Discharge'!E$26:F$126,MATCH(F315,'Step 4 Stage Discharge'!E$26:E$126,1)+1,1)-INDEX('Step 4 Stage Discharge'!E$26:F$126,MATCH(F315,'Step 4 Stage Discharge'!E$26:E$126,1),1))</f>
        <v>0</v>
      </c>
      <c r="H315" s="149"/>
      <c r="I315" s="149">
        <f>INDEX('Step 4 Stage Discharge'!E$26:M$126,MATCH(F315,'Step 4 Stage Discharge'!E$26:E$126,1),9)+(INDEX('Step 4 Stage Discharge'!E$26:M$126,MATCH('Step 5 Routing'!F315,'Step 4 Stage Discharge'!E$26:E$126,1)+1,9)-INDEX('Step 4 Stage Discharge'!E$26:M$126,MATCH('Step 5 Routing'!F315,'Step 4 Stage Discharge'!E$26:E$126,1),9))*('Step 5 Routing'!F315-INDEX('Step 4 Stage Discharge'!E$26:M$126,MATCH('Step 5 Routing'!F315,'Step 4 Stage Discharge'!E$26:E$126,1),1))/(INDEX('Step 4 Stage Discharge'!E$26:M$126,MATCH('Step 5 Routing'!F315,'Step 4 Stage Discharge'!E$26:E$126,1)+1,1)-INDEX('Step 4 Stage Discharge'!E$26:M$126,MATCH('Step 5 Routing'!F315,'Step 4 Stage Discharge'!E$26:E$126,1),1))</f>
        <v>4.3639431710317386E-3</v>
      </c>
      <c r="J315" s="149"/>
      <c r="K315" s="6">
        <f t="shared" si="21"/>
        <v>0</v>
      </c>
      <c r="L315" s="6">
        <f t="shared" si="22"/>
        <v>0</v>
      </c>
    </row>
    <row r="316" spans="1:12">
      <c r="A316">
        <f t="shared" si="23"/>
        <v>303</v>
      </c>
      <c r="B316" s="136">
        <f>IF(C$5=Data!D$3,'Step 2 Inflow Hydrograph'!H360,IF(C$5=Data!D$4,'Step 2 Inflow Hydrograph'!I360,IF(C$5=Data!D$5,'Step 2 Inflow Hydrograph'!J360,'Step 2 Inflow Hydrograph'!K360)))</f>
        <v>0</v>
      </c>
      <c r="C316" s="127"/>
      <c r="D316" s="6">
        <f t="shared" si="20"/>
        <v>0</v>
      </c>
      <c r="E316" s="6"/>
      <c r="F316" s="6">
        <f t="shared" si="24"/>
        <v>0</v>
      </c>
      <c r="G316" s="149">
        <f>INDEX('Step 4 Stage Discharge'!E$26:F$126,MATCH(F316,'Step 4 Stage Discharge'!E$26:E$126,1),2)+(INDEX('Step 4 Stage Discharge'!E$26:F$126,MATCH(F316,'Step 4 Stage Discharge'!E$26:E$126,1)+1,2)-INDEX('Step 4 Stage Discharge'!E$26:F$126,MATCH(F316,'Step 4 Stage Discharge'!E$26:E$126,1),2))*(F316-INDEX('Step 4 Stage Discharge'!E$26:F$126,MATCH(F316,'Step 4 Stage Discharge'!E$26:E$126,1),1))/(INDEX('Step 4 Stage Discharge'!E$26:F$126,MATCH(F316,'Step 4 Stage Discharge'!E$26:E$126,1)+1,1)-INDEX('Step 4 Stage Discharge'!E$26:F$126,MATCH(F316,'Step 4 Stage Discharge'!E$26:E$126,1),1))</f>
        <v>0</v>
      </c>
      <c r="H316" s="149"/>
      <c r="I316" s="149">
        <f>INDEX('Step 4 Stage Discharge'!E$26:M$126,MATCH(F316,'Step 4 Stage Discharge'!E$26:E$126,1),9)+(INDEX('Step 4 Stage Discharge'!E$26:M$126,MATCH('Step 5 Routing'!F316,'Step 4 Stage Discharge'!E$26:E$126,1)+1,9)-INDEX('Step 4 Stage Discharge'!E$26:M$126,MATCH('Step 5 Routing'!F316,'Step 4 Stage Discharge'!E$26:E$126,1),9))*('Step 5 Routing'!F316-INDEX('Step 4 Stage Discharge'!E$26:M$126,MATCH('Step 5 Routing'!F316,'Step 4 Stage Discharge'!E$26:E$126,1),1))/(INDEX('Step 4 Stage Discharge'!E$26:M$126,MATCH('Step 5 Routing'!F316,'Step 4 Stage Discharge'!E$26:E$126,1)+1,1)-INDEX('Step 4 Stage Discharge'!E$26:M$126,MATCH('Step 5 Routing'!F316,'Step 4 Stage Discharge'!E$26:E$126,1),1))</f>
        <v>4.3639431710317386E-3</v>
      </c>
      <c r="J316" s="149"/>
      <c r="K316" s="6">
        <f t="shared" si="21"/>
        <v>0</v>
      </c>
      <c r="L316" s="6">
        <f t="shared" si="22"/>
        <v>0</v>
      </c>
    </row>
    <row r="317" spans="1:12">
      <c r="A317">
        <f t="shared" si="23"/>
        <v>304</v>
      </c>
      <c r="B317" s="136">
        <f>IF(C$5=Data!D$3,'Step 2 Inflow Hydrograph'!H361,IF(C$5=Data!D$4,'Step 2 Inflow Hydrograph'!I361,IF(C$5=Data!D$5,'Step 2 Inflow Hydrograph'!J361,'Step 2 Inflow Hydrograph'!K361)))</f>
        <v>0</v>
      </c>
      <c r="C317" s="127"/>
      <c r="D317" s="6">
        <f t="shared" si="20"/>
        <v>0</v>
      </c>
      <c r="E317" s="6"/>
      <c r="F317" s="6">
        <f t="shared" si="24"/>
        <v>0</v>
      </c>
      <c r="G317" s="149">
        <f>INDEX('Step 4 Stage Discharge'!E$26:F$126,MATCH(F317,'Step 4 Stage Discharge'!E$26:E$126,1),2)+(INDEX('Step 4 Stage Discharge'!E$26:F$126,MATCH(F317,'Step 4 Stage Discharge'!E$26:E$126,1)+1,2)-INDEX('Step 4 Stage Discharge'!E$26:F$126,MATCH(F317,'Step 4 Stage Discharge'!E$26:E$126,1),2))*(F317-INDEX('Step 4 Stage Discharge'!E$26:F$126,MATCH(F317,'Step 4 Stage Discharge'!E$26:E$126,1),1))/(INDEX('Step 4 Stage Discharge'!E$26:F$126,MATCH(F317,'Step 4 Stage Discharge'!E$26:E$126,1)+1,1)-INDEX('Step 4 Stage Discharge'!E$26:F$126,MATCH(F317,'Step 4 Stage Discharge'!E$26:E$126,1),1))</f>
        <v>0</v>
      </c>
      <c r="H317" s="149"/>
      <c r="I317" s="149">
        <f>INDEX('Step 4 Stage Discharge'!E$26:M$126,MATCH(F317,'Step 4 Stage Discharge'!E$26:E$126,1),9)+(INDEX('Step 4 Stage Discharge'!E$26:M$126,MATCH('Step 5 Routing'!F317,'Step 4 Stage Discharge'!E$26:E$126,1)+1,9)-INDEX('Step 4 Stage Discharge'!E$26:M$126,MATCH('Step 5 Routing'!F317,'Step 4 Stage Discharge'!E$26:E$126,1),9))*('Step 5 Routing'!F317-INDEX('Step 4 Stage Discharge'!E$26:M$126,MATCH('Step 5 Routing'!F317,'Step 4 Stage Discharge'!E$26:E$126,1),1))/(INDEX('Step 4 Stage Discharge'!E$26:M$126,MATCH('Step 5 Routing'!F317,'Step 4 Stage Discharge'!E$26:E$126,1)+1,1)-INDEX('Step 4 Stage Discharge'!E$26:M$126,MATCH('Step 5 Routing'!F317,'Step 4 Stage Discharge'!E$26:E$126,1),1))</f>
        <v>4.3639431710317386E-3</v>
      </c>
      <c r="J317" s="149"/>
      <c r="K317" s="6">
        <f t="shared" si="21"/>
        <v>0</v>
      </c>
      <c r="L317" s="6">
        <f t="shared" si="22"/>
        <v>0</v>
      </c>
    </row>
    <row r="318" spans="1:12">
      <c r="A318">
        <f t="shared" si="23"/>
        <v>305</v>
      </c>
      <c r="B318" s="136">
        <f>IF(C$5=Data!D$3,'Step 2 Inflow Hydrograph'!H362,IF(C$5=Data!D$4,'Step 2 Inflow Hydrograph'!I362,IF(C$5=Data!D$5,'Step 2 Inflow Hydrograph'!J362,'Step 2 Inflow Hydrograph'!K362)))</f>
        <v>0</v>
      </c>
      <c r="C318" s="127"/>
      <c r="D318" s="6">
        <f t="shared" si="20"/>
        <v>0</v>
      </c>
      <c r="E318" s="6"/>
      <c r="F318" s="6">
        <f t="shared" si="24"/>
        <v>0</v>
      </c>
      <c r="G318" s="149">
        <f>INDEX('Step 4 Stage Discharge'!E$26:F$126,MATCH(F318,'Step 4 Stage Discharge'!E$26:E$126,1),2)+(INDEX('Step 4 Stage Discharge'!E$26:F$126,MATCH(F318,'Step 4 Stage Discharge'!E$26:E$126,1)+1,2)-INDEX('Step 4 Stage Discharge'!E$26:F$126,MATCH(F318,'Step 4 Stage Discharge'!E$26:E$126,1),2))*(F318-INDEX('Step 4 Stage Discharge'!E$26:F$126,MATCH(F318,'Step 4 Stage Discharge'!E$26:E$126,1),1))/(INDEX('Step 4 Stage Discharge'!E$26:F$126,MATCH(F318,'Step 4 Stage Discharge'!E$26:E$126,1)+1,1)-INDEX('Step 4 Stage Discharge'!E$26:F$126,MATCH(F318,'Step 4 Stage Discharge'!E$26:E$126,1),1))</f>
        <v>0</v>
      </c>
      <c r="H318" s="149"/>
      <c r="I318" s="149">
        <f>INDEX('Step 4 Stage Discharge'!E$26:M$126,MATCH(F318,'Step 4 Stage Discharge'!E$26:E$126,1),9)+(INDEX('Step 4 Stage Discharge'!E$26:M$126,MATCH('Step 5 Routing'!F318,'Step 4 Stage Discharge'!E$26:E$126,1)+1,9)-INDEX('Step 4 Stage Discharge'!E$26:M$126,MATCH('Step 5 Routing'!F318,'Step 4 Stage Discharge'!E$26:E$126,1),9))*('Step 5 Routing'!F318-INDEX('Step 4 Stage Discharge'!E$26:M$126,MATCH('Step 5 Routing'!F318,'Step 4 Stage Discharge'!E$26:E$126,1),1))/(INDEX('Step 4 Stage Discharge'!E$26:M$126,MATCH('Step 5 Routing'!F318,'Step 4 Stage Discharge'!E$26:E$126,1)+1,1)-INDEX('Step 4 Stage Discharge'!E$26:M$126,MATCH('Step 5 Routing'!F318,'Step 4 Stage Discharge'!E$26:E$126,1),1))</f>
        <v>4.3639431710317386E-3</v>
      </c>
      <c r="J318" s="149"/>
      <c r="K318" s="6">
        <f t="shared" si="21"/>
        <v>0</v>
      </c>
      <c r="L318" s="6">
        <f t="shared" si="22"/>
        <v>0</v>
      </c>
    </row>
    <row r="319" spans="1:12">
      <c r="A319">
        <f t="shared" si="23"/>
        <v>306</v>
      </c>
      <c r="B319" s="136">
        <f>IF(C$5=Data!D$3,'Step 2 Inflow Hydrograph'!H363,IF(C$5=Data!D$4,'Step 2 Inflow Hydrograph'!I363,IF(C$5=Data!D$5,'Step 2 Inflow Hydrograph'!J363,'Step 2 Inflow Hydrograph'!K363)))</f>
        <v>0</v>
      </c>
      <c r="C319" s="127"/>
      <c r="D319" s="6">
        <f t="shared" si="20"/>
        <v>0</v>
      </c>
      <c r="E319" s="6"/>
      <c r="F319" s="6">
        <f t="shared" si="24"/>
        <v>0</v>
      </c>
      <c r="G319" s="149">
        <f>INDEX('Step 4 Stage Discharge'!E$26:F$126,MATCH(F319,'Step 4 Stage Discharge'!E$26:E$126,1),2)+(INDEX('Step 4 Stage Discharge'!E$26:F$126,MATCH(F319,'Step 4 Stage Discharge'!E$26:E$126,1)+1,2)-INDEX('Step 4 Stage Discharge'!E$26:F$126,MATCH(F319,'Step 4 Stage Discharge'!E$26:E$126,1),2))*(F319-INDEX('Step 4 Stage Discharge'!E$26:F$126,MATCH(F319,'Step 4 Stage Discharge'!E$26:E$126,1),1))/(INDEX('Step 4 Stage Discharge'!E$26:F$126,MATCH(F319,'Step 4 Stage Discharge'!E$26:E$126,1)+1,1)-INDEX('Step 4 Stage Discharge'!E$26:F$126,MATCH(F319,'Step 4 Stage Discharge'!E$26:E$126,1),1))</f>
        <v>0</v>
      </c>
      <c r="H319" s="149"/>
      <c r="I319" s="149">
        <f>INDEX('Step 4 Stage Discharge'!E$26:M$126,MATCH(F319,'Step 4 Stage Discharge'!E$26:E$126,1),9)+(INDEX('Step 4 Stage Discharge'!E$26:M$126,MATCH('Step 5 Routing'!F319,'Step 4 Stage Discharge'!E$26:E$126,1)+1,9)-INDEX('Step 4 Stage Discharge'!E$26:M$126,MATCH('Step 5 Routing'!F319,'Step 4 Stage Discharge'!E$26:E$126,1),9))*('Step 5 Routing'!F319-INDEX('Step 4 Stage Discharge'!E$26:M$126,MATCH('Step 5 Routing'!F319,'Step 4 Stage Discharge'!E$26:E$126,1),1))/(INDEX('Step 4 Stage Discharge'!E$26:M$126,MATCH('Step 5 Routing'!F319,'Step 4 Stage Discharge'!E$26:E$126,1)+1,1)-INDEX('Step 4 Stage Discharge'!E$26:M$126,MATCH('Step 5 Routing'!F319,'Step 4 Stage Discharge'!E$26:E$126,1),1))</f>
        <v>4.3639431710317386E-3</v>
      </c>
      <c r="J319" s="149"/>
      <c r="K319" s="6">
        <f t="shared" si="21"/>
        <v>0</v>
      </c>
      <c r="L319" s="6">
        <f t="shared" si="22"/>
        <v>0</v>
      </c>
    </row>
    <row r="320" spans="1:12">
      <c r="A320">
        <f t="shared" si="23"/>
        <v>307</v>
      </c>
      <c r="B320" s="136">
        <f>IF(C$5=Data!D$3,'Step 2 Inflow Hydrograph'!H364,IF(C$5=Data!D$4,'Step 2 Inflow Hydrograph'!I364,IF(C$5=Data!D$5,'Step 2 Inflow Hydrograph'!J364,'Step 2 Inflow Hydrograph'!K364)))</f>
        <v>0</v>
      </c>
      <c r="C320" s="127"/>
      <c r="D320" s="6">
        <f t="shared" si="20"/>
        <v>0</v>
      </c>
      <c r="E320" s="6"/>
      <c r="F320" s="6">
        <f t="shared" si="24"/>
        <v>0</v>
      </c>
      <c r="G320" s="149">
        <f>INDEX('Step 4 Stage Discharge'!E$26:F$126,MATCH(F320,'Step 4 Stage Discharge'!E$26:E$126,1),2)+(INDEX('Step 4 Stage Discharge'!E$26:F$126,MATCH(F320,'Step 4 Stage Discharge'!E$26:E$126,1)+1,2)-INDEX('Step 4 Stage Discharge'!E$26:F$126,MATCH(F320,'Step 4 Stage Discharge'!E$26:E$126,1),2))*(F320-INDEX('Step 4 Stage Discharge'!E$26:F$126,MATCH(F320,'Step 4 Stage Discharge'!E$26:E$126,1),1))/(INDEX('Step 4 Stage Discharge'!E$26:F$126,MATCH(F320,'Step 4 Stage Discharge'!E$26:E$126,1)+1,1)-INDEX('Step 4 Stage Discharge'!E$26:F$126,MATCH(F320,'Step 4 Stage Discharge'!E$26:E$126,1),1))</f>
        <v>0</v>
      </c>
      <c r="H320" s="149"/>
      <c r="I320" s="149">
        <f>INDEX('Step 4 Stage Discharge'!E$26:M$126,MATCH(F320,'Step 4 Stage Discharge'!E$26:E$126,1),9)+(INDEX('Step 4 Stage Discharge'!E$26:M$126,MATCH('Step 5 Routing'!F320,'Step 4 Stage Discharge'!E$26:E$126,1)+1,9)-INDEX('Step 4 Stage Discharge'!E$26:M$126,MATCH('Step 5 Routing'!F320,'Step 4 Stage Discharge'!E$26:E$126,1),9))*('Step 5 Routing'!F320-INDEX('Step 4 Stage Discharge'!E$26:M$126,MATCH('Step 5 Routing'!F320,'Step 4 Stage Discharge'!E$26:E$126,1),1))/(INDEX('Step 4 Stage Discharge'!E$26:M$126,MATCH('Step 5 Routing'!F320,'Step 4 Stage Discharge'!E$26:E$126,1)+1,1)-INDEX('Step 4 Stage Discharge'!E$26:M$126,MATCH('Step 5 Routing'!F320,'Step 4 Stage Discharge'!E$26:E$126,1),1))</f>
        <v>4.3639431710317386E-3</v>
      </c>
      <c r="J320" s="149"/>
      <c r="K320" s="6">
        <f t="shared" si="21"/>
        <v>0</v>
      </c>
      <c r="L320" s="6">
        <f t="shared" si="22"/>
        <v>0</v>
      </c>
    </row>
    <row r="321" spans="1:12">
      <c r="A321">
        <f t="shared" si="23"/>
        <v>308</v>
      </c>
      <c r="B321" s="136">
        <f>IF(C$5=Data!D$3,'Step 2 Inflow Hydrograph'!H365,IF(C$5=Data!D$4,'Step 2 Inflow Hydrograph'!I365,IF(C$5=Data!D$5,'Step 2 Inflow Hydrograph'!J365,'Step 2 Inflow Hydrograph'!K365)))</f>
        <v>0</v>
      </c>
      <c r="C321" s="127"/>
      <c r="D321" s="6">
        <f t="shared" si="20"/>
        <v>0</v>
      </c>
      <c r="E321" s="6"/>
      <c r="F321" s="6">
        <f t="shared" si="24"/>
        <v>0</v>
      </c>
      <c r="G321" s="149">
        <f>INDEX('Step 4 Stage Discharge'!E$26:F$126,MATCH(F321,'Step 4 Stage Discharge'!E$26:E$126,1),2)+(INDEX('Step 4 Stage Discharge'!E$26:F$126,MATCH(F321,'Step 4 Stage Discharge'!E$26:E$126,1)+1,2)-INDEX('Step 4 Stage Discharge'!E$26:F$126,MATCH(F321,'Step 4 Stage Discharge'!E$26:E$126,1),2))*(F321-INDEX('Step 4 Stage Discharge'!E$26:F$126,MATCH(F321,'Step 4 Stage Discharge'!E$26:E$126,1),1))/(INDEX('Step 4 Stage Discharge'!E$26:F$126,MATCH(F321,'Step 4 Stage Discharge'!E$26:E$126,1)+1,1)-INDEX('Step 4 Stage Discharge'!E$26:F$126,MATCH(F321,'Step 4 Stage Discharge'!E$26:E$126,1),1))</f>
        <v>0</v>
      </c>
      <c r="H321" s="149"/>
      <c r="I321" s="149">
        <f>INDEX('Step 4 Stage Discharge'!E$26:M$126,MATCH(F321,'Step 4 Stage Discharge'!E$26:E$126,1),9)+(INDEX('Step 4 Stage Discharge'!E$26:M$126,MATCH('Step 5 Routing'!F321,'Step 4 Stage Discharge'!E$26:E$126,1)+1,9)-INDEX('Step 4 Stage Discharge'!E$26:M$126,MATCH('Step 5 Routing'!F321,'Step 4 Stage Discharge'!E$26:E$126,1),9))*('Step 5 Routing'!F321-INDEX('Step 4 Stage Discharge'!E$26:M$126,MATCH('Step 5 Routing'!F321,'Step 4 Stage Discharge'!E$26:E$126,1),1))/(INDEX('Step 4 Stage Discharge'!E$26:M$126,MATCH('Step 5 Routing'!F321,'Step 4 Stage Discharge'!E$26:E$126,1)+1,1)-INDEX('Step 4 Stage Discharge'!E$26:M$126,MATCH('Step 5 Routing'!F321,'Step 4 Stage Discharge'!E$26:E$126,1),1))</f>
        <v>4.3639431710317386E-3</v>
      </c>
      <c r="J321" s="149"/>
      <c r="K321" s="6">
        <f t="shared" si="21"/>
        <v>0</v>
      </c>
      <c r="L321" s="6">
        <f t="shared" si="22"/>
        <v>0</v>
      </c>
    </row>
    <row r="322" spans="1:12">
      <c r="A322">
        <f t="shared" si="23"/>
        <v>309</v>
      </c>
      <c r="B322" s="136">
        <f>IF(C$5=Data!D$3,'Step 2 Inflow Hydrograph'!H366,IF(C$5=Data!D$4,'Step 2 Inflow Hydrograph'!I366,IF(C$5=Data!D$5,'Step 2 Inflow Hydrograph'!J366,'Step 2 Inflow Hydrograph'!K366)))</f>
        <v>0</v>
      </c>
      <c r="C322" s="127"/>
      <c r="D322" s="6">
        <f t="shared" si="20"/>
        <v>0</v>
      </c>
      <c r="E322" s="6"/>
      <c r="F322" s="6">
        <f t="shared" si="24"/>
        <v>0</v>
      </c>
      <c r="G322" s="149">
        <f>INDEX('Step 4 Stage Discharge'!E$26:F$126,MATCH(F322,'Step 4 Stage Discharge'!E$26:E$126,1),2)+(INDEX('Step 4 Stage Discharge'!E$26:F$126,MATCH(F322,'Step 4 Stage Discharge'!E$26:E$126,1)+1,2)-INDEX('Step 4 Stage Discharge'!E$26:F$126,MATCH(F322,'Step 4 Stage Discharge'!E$26:E$126,1),2))*(F322-INDEX('Step 4 Stage Discharge'!E$26:F$126,MATCH(F322,'Step 4 Stage Discharge'!E$26:E$126,1),1))/(INDEX('Step 4 Stage Discharge'!E$26:F$126,MATCH(F322,'Step 4 Stage Discharge'!E$26:E$126,1)+1,1)-INDEX('Step 4 Stage Discharge'!E$26:F$126,MATCH(F322,'Step 4 Stage Discharge'!E$26:E$126,1),1))</f>
        <v>0</v>
      </c>
      <c r="H322" s="149"/>
      <c r="I322" s="149">
        <f>INDEX('Step 4 Stage Discharge'!E$26:M$126,MATCH(F322,'Step 4 Stage Discharge'!E$26:E$126,1),9)+(INDEX('Step 4 Stage Discharge'!E$26:M$126,MATCH('Step 5 Routing'!F322,'Step 4 Stage Discharge'!E$26:E$126,1)+1,9)-INDEX('Step 4 Stage Discharge'!E$26:M$126,MATCH('Step 5 Routing'!F322,'Step 4 Stage Discharge'!E$26:E$126,1),9))*('Step 5 Routing'!F322-INDEX('Step 4 Stage Discharge'!E$26:M$126,MATCH('Step 5 Routing'!F322,'Step 4 Stage Discharge'!E$26:E$126,1),1))/(INDEX('Step 4 Stage Discharge'!E$26:M$126,MATCH('Step 5 Routing'!F322,'Step 4 Stage Discharge'!E$26:E$126,1)+1,1)-INDEX('Step 4 Stage Discharge'!E$26:M$126,MATCH('Step 5 Routing'!F322,'Step 4 Stage Discharge'!E$26:E$126,1),1))</f>
        <v>4.3639431710317386E-3</v>
      </c>
      <c r="J322" s="149"/>
      <c r="K322" s="6">
        <f t="shared" si="21"/>
        <v>0</v>
      </c>
      <c r="L322" s="6">
        <f t="shared" si="22"/>
        <v>0</v>
      </c>
    </row>
    <row r="323" spans="1:12">
      <c r="A323">
        <f t="shared" si="23"/>
        <v>310</v>
      </c>
      <c r="B323" s="136">
        <f>IF(C$5=Data!D$3,'Step 2 Inflow Hydrograph'!H367,IF(C$5=Data!D$4,'Step 2 Inflow Hydrograph'!I367,IF(C$5=Data!D$5,'Step 2 Inflow Hydrograph'!J367,'Step 2 Inflow Hydrograph'!K367)))</f>
        <v>0</v>
      </c>
      <c r="C323" s="127"/>
      <c r="D323" s="6">
        <f t="shared" si="20"/>
        <v>0</v>
      </c>
      <c r="E323" s="6"/>
      <c r="F323" s="6">
        <f t="shared" si="24"/>
        <v>0</v>
      </c>
      <c r="G323" s="149">
        <f>INDEX('Step 4 Stage Discharge'!E$26:F$126,MATCH(F323,'Step 4 Stage Discharge'!E$26:E$126,1),2)+(INDEX('Step 4 Stage Discharge'!E$26:F$126,MATCH(F323,'Step 4 Stage Discharge'!E$26:E$126,1)+1,2)-INDEX('Step 4 Stage Discharge'!E$26:F$126,MATCH(F323,'Step 4 Stage Discharge'!E$26:E$126,1),2))*(F323-INDEX('Step 4 Stage Discharge'!E$26:F$126,MATCH(F323,'Step 4 Stage Discharge'!E$26:E$126,1),1))/(INDEX('Step 4 Stage Discharge'!E$26:F$126,MATCH(F323,'Step 4 Stage Discharge'!E$26:E$126,1)+1,1)-INDEX('Step 4 Stage Discharge'!E$26:F$126,MATCH(F323,'Step 4 Stage Discharge'!E$26:E$126,1),1))</f>
        <v>0</v>
      </c>
      <c r="H323" s="149"/>
      <c r="I323" s="149">
        <f>INDEX('Step 4 Stage Discharge'!E$26:M$126,MATCH(F323,'Step 4 Stage Discharge'!E$26:E$126,1),9)+(INDEX('Step 4 Stage Discharge'!E$26:M$126,MATCH('Step 5 Routing'!F323,'Step 4 Stage Discharge'!E$26:E$126,1)+1,9)-INDEX('Step 4 Stage Discharge'!E$26:M$126,MATCH('Step 5 Routing'!F323,'Step 4 Stage Discharge'!E$26:E$126,1),9))*('Step 5 Routing'!F323-INDEX('Step 4 Stage Discharge'!E$26:M$126,MATCH('Step 5 Routing'!F323,'Step 4 Stage Discharge'!E$26:E$126,1),1))/(INDEX('Step 4 Stage Discharge'!E$26:M$126,MATCH('Step 5 Routing'!F323,'Step 4 Stage Discharge'!E$26:E$126,1)+1,1)-INDEX('Step 4 Stage Discharge'!E$26:M$126,MATCH('Step 5 Routing'!F323,'Step 4 Stage Discharge'!E$26:E$126,1),1))</f>
        <v>4.3639431710317386E-3</v>
      </c>
      <c r="J323" s="149"/>
      <c r="K323" s="6">
        <f t="shared" si="21"/>
        <v>0</v>
      </c>
      <c r="L323" s="6">
        <f t="shared" si="22"/>
        <v>0</v>
      </c>
    </row>
    <row r="324" spans="1:12">
      <c r="A324">
        <f t="shared" si="23"/>
        <v>311</v>
      </c>
      <c r="B324" s="136">
        <f>IF(C$5=Data!D$3,'Step 2 Inflow Hydrograph'!H368,IF(C$5=Data!D$4,'Step 2 Inflow Hydrograph'!I368,IF(C$5=Data!D$5,'Step 2 Inflow Hydrograph'!J368,'Step 2 Inflow Hydrograph'!K368)))</f>
        <v>0</v>
      </c>
      <c r="C324" s="127"/>
      <c r="D324" s="6">
        <f t="shared" si="20"/>
        <v>0</v>
      </c>
      <c r="E324" s="6"/>
      <c r="F324" s="6">
        <f t="shared" si="24"/>
        <v>0</v>
      </c>
      <c r="G324" s="149">
        <f>INDEX('Step 4 Stage Discharge'!E$26:F$126,MATCH(F324,'Step 4 Stage Discharge'!E$26:E$126,1),2)+(INDEX('Step 4 Stage Discharge'!E$26:F$126,MATCH(F324,'Step 4 Stage Discharge'!E$26:E$126,1)+1,2)-INDEX('Step 4 Stage Discharge'!E$26:F$126,MATCH(F324,'Step 4 Stage Discharge'!E$26:E$126,1),2))*(F324-INDEX('Step 4 Stage Discharge'!E$26:F$126,MATCH(F324,'Step 4 Stage Discharge'!E$26:E$126,1),1))/(INDEX('Step 4 Stage Discharge'!E$26:F$126,MATCH(F324,'Step 4 Stage Discharge'!E$26:E$126,1)+1,1)-INDEX('Step 4 Stage Discharge'!E$26:F$126,MATCH(F324,'Step 4 Stage Discharge'!E$26:E$126,1),1))</f>
        <v>0</v>
      </c>
      <c r="H324" s="149"/>
      <c r="I324" s="149">
        <f>INDEX('Step 4 Stage Discharge'!E$26:M$126,MATCH(F324,'Step 4 Stage Discharge'!E$26:E$126,1),9)+(INDEX('Step 4 Stage Discharge'!E$26:M$126,MATCH('Step 5 Routing'!F324,'Step 4 Stage Discharge'!E$26:E$126,1)+1,9)-INDEX('Step 4 Stage Discharge'!E$26:M$126,MATCH('Step 5 Routing'!F324,'Step 4 Stage Discharge'!E$26:E$126,1),9))*('Step 5 Routing'!F324-INDEX('Step 4 Stage Discharge'!E$26:M$126,MATCH('Step 5 Routing'!F324,'Step 4 Stage Discharge'!E$26:E$126,1),1))/(INDEX('Step 4 Stage Discharge'!E$26:M$126,MATCH('Step 5 Routing'!F324,'Step 4 Stage Discharge'!E$26:E$126,1)+1,1)-INDEX('Step 4 Stage Discharge'!E$26:M$126,MATCH('Step 5 Routing'!F324,'Step 4 Stage Discharge'!E$26:E$126,1),1))</f>
        <v>4.3639431710317386E-3</v>
      </c>
      <c r="J324" s="149"/>
      <c r="K324" s="6">
        <f t="shared" si="21"/>
        <v>0</v>
      </c>
      <c r="L324" s="6">
        <f t="shared" si="22"/>
        <v>0</v>
      </c>
    </row>
    <row r="325" spans="1:12">
      <c r="A325">
        <f t="shared" si="23"/>
        <v>312</v>
      </c>
      <c r="B325" s="136">
        <f>IF(C$5=Data!D$3,'Step 2 Inflow Hydrograph'!H369,IF(C$5=Data!D$4,'Step 2 Inflow Hydrograph'!I369,IF(C$5=Data!D$5,'Step 2 Inflow Hydrograph'!J369,'Step 2 Inflow Hydrograph'!K369)))</f>
        <v>0</v>
      </c>
      <c r="C325" s="127"/>
      <c r="D325" s="6">
        <f t="shared" si="20"/>
        <v>0</v>
      </c>
      <c r="E325" s="6"/>
      <c r="F325" s="6">
        <f t="shared" si="24"/>
        <v>0</v>
      </c>
      <c r="G325" s="149">
        <f>INDEX('Step 4 Stage Discharge'!E$26:F$126,MATCH(F325,'Step 4 Stage Discharge'!E$26:E$126,1),2)+(INDEX('Step 4 Stage Discharge'!E$26:F$126,MATCH(F325,'Step 4 Stage Discharge'!E$26:E$126,1)+1,2)-INDEX('Step 4 Stage Discharge'!E$26:F$126,MATCH(F325,'Step 4 Stage Discharge'!E$26:E$126,1),2))*(F325-INDEX('Step 4 Stage Discharge'!E$26:F$126,MATCH(F325,'Step 4 Stage Discharge'!E$26:E$126,1),1))/(INDEX('Step 4 Stage Discharge'!E$26:F$126,MATCH(F325,'Step 4 Stage Discharge'!E$26:E$126,1)+1,1)-INDEX('Step 4 Stage Discharge'!E$26:F$126,MATCH(F325,'Step 4 Stage Discharge'!E$26:E$126,1),1))</f>
        <v>0</v>
      </c>
      <c r="H325" s="149"/>
      <c r="I325" s="149">
        <f>INDEX('Step 4 Stage Discharge'!E$26:M$126,MATCH(F325,'Step 4 Stage Discharge'!E$26:E$126,1),9)+(INDEX('Step 4 Stage Discharge'!E$26:M$126,MATCH('Step 5 Routing'!F325,'Step 4 Stage Discharge'!E$26:E$126,1)+1,9)-INDEX('Step 4 Stage Discharge'!E$26:M$126,MATCH('Step 5 Routing'!F325,'Step 4 Stage Discharge'!E$26:E$126,1),9))*('Step 5 Routing'!F325-INDEX('Step 4 Stage Discharge'!E$26:M$126,MATCH('Step 5 Routing'!F325,'Step 4 Stage Discharge'!E$26:E$126,1),1))/(INDEX('Step 4 Stage Discharge'!E$26:M$126,MATCH('Step 5 Routing'!F325,'Step 4 Stage Discharge'!E$26:E$126,1)+1,1)-INDEX('Step 4 Stage Discharge'!E$26:M$126,MATCH('Step 5 Routing'!F325,'Step 4 Stage Discharge'!E$26:E$126,1),1))</f>
        <v>4.3639431710317386E-3</v>
      </c>
      <c r="J325" s="149"/>
      <c r="K325" s="6">
        <f t="shared" si="21"/>
        <v>0</v>
      </c>
      <c r="L325" s="6">
        <f t="shared" si="22"/>
        <v>0</v>
      </c>
    </row>
    <row r="326" spans="1:12">
      <c r="A326">
        <f t="shared" si="23"/>
        <v>313</v>
      </c>
      <c r="B326" s="136">
        <f>IF(C$5=Data!D$3,'Step 2 Inflow Hydrograph'!H370,IF(C$5=Data!D$4,'Step 2 Inflow Hydrograph'!I370,IF(C$5=Data!D$5,'Step 2 Inflow Hydrograph'!J370,'Step 2 Inflow Hydrograph'!K370)))</f>
        <v>0</v>
      </c>
      <c r="C326" s="127"/>
      <c r="D326" s="6">
        <f t="shared" si="20"/>
        <v>0</v>
      </c>
      <c r="E326" s="6"/>
      <c r="F326" s="6">
        <f t="shared" si="24"/>
        <v>0</v>
      </c>
      <c r="G326" s="149">
        <f>INDEX('Step 4 Stage Discharge'!E$26:F$126,MATCH(F326,'Step 4 Stage Discharge'!E$26:E$126,1),2)+(INDEX('Step 4 Stage Discharge'!E$26:F$126,MATCH(F326,'Step 4 Stage Discharge'!E$26:E$126,1)+1,2)-INDEX('Step 4 Stage Discharge'!E$26:F$126,MATCH(F326,'Step 4 Stage Discharge'!E$26:E$126,1),2))*(F326-INDEX('Step 4 Stage Discharge'!E$26:F$126,MATCH(F326,'Step 4 Stage Discharge'!E$26:E$126,1),1))/(INDEX('Step 4 Stage Discharge'!E$26:F$126,MATCH(F326,'Step 4 Stage Discharge'!E$26:E$126,1)+1,1)-INDEX('Step 4 Stage Discharge'!E$26:F$126,MATCH(F326,'Step 4 Stage Discharge'!E$26:E$126,1),1))</f>
        <v>0</v>
      </c>
      <c r="H326" s="149"/>
      <c r="I326" s="149">
        <f>INDEX('Step 4 Stage Discharge'!E$26:M$126,MATCH(F326,'Step 4 Stage Discharge'!E$26:E$126,1),9)+(INDEX('Step 4 Stage Discharge'!E$26:M$126,MATCH('Step 5 Routing'!F326,'Step 4 Stage Discharge'!E$26:E$126,1)+1,9)-INDEX('Step 4 Stage Discharge'!E$26:M$126,MATCH('Step 5 Routing'!F326,'Step 4 Stage Discharge'!E$26:E$126,1),9))*('Step 5 Routing'!F326-INDEX('Step 4 Stage Discharge'!E$26:M$126,MATCH('Step 5 Routing'!F326,'Step 4 Stage Discharge'!E$26:E$126,1),1))/(INDEX('Step 4 Stage Discharge'!E$26:M$126,MATCH('Step 5 Routing'!F326,'Step 4 Stage Discharge'!E$26:E$126,1)+1,1)-INDEX('Step 4 Stage Discharge'!E$26:M$126,MATCH('Step 5 Routing'!F326,'Step 4 Stage Discharge'!E$26:E$126,1),1))</f>
        <v>4.3639431710317386E-3</v>
      </c>
      <c r="J326" s="149"/>
      <c r="K326" s="6">
        <f t="shared" si="21"/>
        <v>0</v>
      </c>
      <c r="L326" s="6">
        <f t="shared" si="22"/>
        <v>0</v>
      </c>
    </row>
    <row r="327" spans="1:12">
      <c r="A327">
        <f t="shared" si="23"/>
        <v>314</v>
      </c>
      <c r="B327" s="136">
        <f>IF(C$5=Data!D$3,'Step 2 Inflow Hydrograph'!H371,IF(C$5=Data!D$4,'Step 2 Inflow Hydrograph'!I371,IF(C$5=Data!D$5,'Step 2 Inflow Hydrograph'!J371,'Step 2 Inflow Hydrograph'!K371)))</f>
        <v>0</v>
      </c>
      <c r="C327" s="127"/>
      <c r="D327" s="6">
        <f t="shared" si="20"/>
        <v>0</v>
      </c>
      <c r="E327" s="6"/>
      <c r="F327" s="6">
        <f t="shared" si="24"/>
        <v>0</v>
      </c>
      <c r="G327" s="149">
        <f>INDEX('Step 4 Stage Discharge'!E$26:F$126,MATCH(F327,'Step 4 Stage Discharge'!E$26:E$126,1),2)+(INDEX('Step 4 Stage Discharge'!E$26:F$126,MATCH(F327,'Step 4 Stage Discharge'!E$26:E$126,1)+1,2)-INDEX('Step 4 Stage Discharge'!E$26:F$126,MATCH(F327,'Step 4 Stage Discharge'!E$26:E$126,1),2))*(F327-INDEX('Step 4 Stage Discharge'!E$26:F$126,MATCH(F327,'Step 4 Stage Discharge'!E$26:E$126,1),1))/(INDEX('Step 4 Stage Discharge'!E$26:F$126,MATCH(F327,'Step 4 Stage Discharge'!E$26:E$126,1)+1,1)-INDEX('Step 4 Stage Discharge'!E$26:F$126,MATCH(F327,'Step 4 Stage Discharge'!E$26:E$126,1),1))</f>
        <v>0</v>
      </c>
      <c r="H327" s="149"/>
      <c r="I327" s="149">
        <f>INDEX('Step 4 Stage Discharge'!E$26:M$126,MATCH(F327,'Step 4 Stage Discharge'!E$26:E$126,1),9)+(INDEX('Step 4 Stage Discharge'!E$26:M$126,MATCH('Step 5 Routing'!F327,'Step 4 Stage Discharge'!E$26:E$126,1)+1,9)-INDEX('Step 4 Stage Discharge'!E$26:M$126,MATCH('Step 5 Routing'!F327,'Step 4 Stage Discharge'!E$26:E$126,1),9))*('Step 5 Routing'!F327-INDEX('Step 4 Stage Discharge'!E$26:M$126,MATCH('Step 5 Routing'!F327,'Step 4 Stage Discharge'!E$26:E$126,1),1))/(INDEX('Step 4 Stage Discharge'!E$26:M$126,MATCH('Step 5 Routing'!F327,'Step 4 Stage Discharge'!E$26:E$126,1)+1,1)-INDEX('Step 4 Stage Discharge'!E$26:M$126,MATCH('Step 5 Routing'!F327,'Step 4 Stage Discharge'!E$26:E$126,1),1))</f>
        <v>4.3639431710317386E-3</v>
      </c>
      <c r="J327" s="149"/>
      <c r="K327" s="6">
        <f t="shared" si="21"/>
        <v>0</v>
      </c>
      <c r="L327" s="6">
        <f t="shared" si="22"/>
        <v>0</v>
      </c>
    </row>
    <row r="328" spans="1:12">
      <c r="A328">
        <f t="shared" si="23"/>
        <v>315</v>
      </c>
      <c r="B328" s="136">
        <f>IF(C$5=Data!D$3,'Step 2 Inflow Hydrograph'!H372,IF(C$5=Data!D$4,'Step 2 Inflow Hydrograph'!I372,IF(C$5=Data!D$5,'Step 2 Inflow Hydrograph'!J372,'Step 2 Inflow Hydrograph'!K372)))</f>
        <v>0</v>
      </c>
      <c r="C328" s="127"/>
      <c r="D328" s="6">
        <f t="shared" si="20"/>
        <v>0</v>
      </c>
      <c r="E328" s="6"/>
      <c r="F328" s="6">
        <f t="shared" si="24"/>
        <v>0</v>
      </c>
      <c r="G328" s="149">
        <f>INDEX('Step 4 Stage Discharge'!E$26:F$126,MATCH(F328,'Step 4 Stage Discharge'!E$26:E$126,1),2)+(INDEX('Step 4 Stage Discharge'!E$26:F$126,MATCH(F328,'Step 4 Stage Discharge'!E$26:E$126,1)+1,2)-INDEX('Step 4 Stage Discharge'!E$26:F$126,MATCH(F328,'Step 4 Stage Discharge'!E$26:E$126,1),2))*(F328-INDEX('Step 4 Stage Discharge'!E$26:F$126,MATCH(F328,'Step 4 Stage Discharge'!E$26:E$126,1),1))/(INDEX('Step 4 Stage Discharge'!E$26:F$126,MATCH(F328,'Step 4 Stage Discharge'!E$26:E$126,1)+1,1)-INDEX('Step 4 Stage Discharge'!E$26:F$126,MATCH(F328,'Step 4 Stage Discharge'!E$26:E$126,1),1))</f>
        <v>0</v>
      </c>
      <c r="H328" s="149"/>
      <c r="I328" s="149">
        <f>INDEX('Step 4 Stage Discharge'!E$26:M$126,MATCH(F328,'Step 4 Stage Discharge'!E$26:E$126,1),9)+(INDEX('Step 4 Stage Discharge'!E$26:M$126,MATCH('Step 5 Routing'!F328,'Step 4 Stage Discharge'!E$26:E$126,1)+1,9)-INDEX('Step 4 Stage Discharge'!E$26:M$126,MATCH('Step 5 Routing'!F328,'Step 4 Stage Discharge'!E$26:E$126,1),9))*('Step 5 Routing'!F328-INDEX('Step 4 Stage Discharge'!E$26:M$126,MATCH('Step 5 Routing'!F328,'Step 4 Stage Discharge'!E$26:E$126,1),1))/(INDEX('Step 4 Stage Discharge'!E$26:M$126,MATCH('Step 5 Routing'!F328,'Step 4 Stage Discharge'!E$26:E$126,1)+1,1)-INDEX('Step 4 Stage Discharge'!E$26:M$126,MATCH('Step 5 Routing'!F328,'Step 4 Stage Discharge'!E$26:E$126,1),1))</f>
        <v>4.3639431710317386E-3</v>
      </c>
      <c r="J328" s="149"/>
      <c r="K328" s="6">
        <f t="shared" si="21"/>
        <v>0</v>
      </c>
      <c r="L328" s="6">
        <f t="shared" si="22"/>
        <v>0</v>
      </c>
    </row>
    <row r="329" spans="1:12">
      <c r="A329">
        <f t="shared" si="23"/>
        <v>316</v>
      </c>
      <c r="B329" s="136">
        <f>IF(C$5=Data!D$3,'Step 2 Inflow Hydrograph'!H373,IF(C$5=Data!D$4,'Step 2 Inflow Hydrograph'!I373,IF(C$5=Data!D$5,'Step 2 Inflow Hydrograph'!J373,'Step 2 Inflow Hydrograph'!K373)))</f>
        <v>0</v>
      </c>
      <c r="C329" s="127"/>
      <c r="D329" s="6">
        <f t="shared" si="20"/>
        <v>0</v>
      </c>
      <c r="E329" s="6"/>
      <c r="F329" s="6">
        <f t="shared" si="24"/>
        <v>0</v>
      </c>
      <c r="G329" s="149">
        <f>INDEX('Step 4 Stage Discharge'!E$26:F$126,MATCH(F329,'Step 4 Stage Discharge'!E$26:E$126,1),2)+(INDEX('Step 4 Stage Discharge'!E$26:F$126,MATCH(F329,'Step 4 Stage Discharge'!E$26:E$126,1)+1,2)-INDEX('Step 4 Stage Discharge'!E$26:F$126,MATCH(F329,'Step 4 Stage Discharge'!E$26:E$126,1),2))*(F329-INDEX('Step 4 Stage Discharge'!E$26:F$126,MATCH(F329,'Step 4 Stage Discharge'!E$26:E$126,1),1))/(INDEX('Step 4 Stage Discharge'!E$26:F$126,MATCH(F329,'Step 4 Stage Discharge'!E$26:E$126,1)+1,1)-INDEX('Step 4 Stage Discharge'!E$26:F$126,MATCH(F329,'Step 4 Stage Discharge'!E$26:E$126,1),1))</f>
        <v>0</v>
      </c>
      <c r="H329" s="149"/>
      <c r="I329" s="149">
        <f>INDEX('Step 4 Stage Discharge'!E$26:M$126,MATCH(F329,'Step 4 Stage Discharge'!E$26:E$126,1),9)+(INDEX('Step 4 Stage Discharge'!E$26:M$126,MATCH('Step 5 Routing'!F329,'Step 4 Stage Discharge'!E$26:E$126,1)+1,9)-INDEX('Step 4 Stage Discharge'!E$26:M$126,MATCH('Step 5 Routing'!F329,'Step 4 Stage Discharge'!E$26:E$126,1),9))*('Step 5 Routing'!F329-INDEX('Step 4 Stage Discharge'!E$26:M$126,MATCH('Step 5 Routing'!F329,'Step 4 Stage Discharge'!E$26:E$126,1),1))/(INDEX('Step 4 Stage Discharge'!E$26:M$126,MATCH('Step 5 Routing'!F329,'Step 4 Stage Discharge'!E$26:E$126,1)+1,1)-INDEX('Step 4 Stage Discharge'!E$26:M$126,MATCH('Step 5 Routing'!F329,'Step 4 Stage Discharge'!E$26:E$126,1),1))</f>
        <v>4.3639431710317386E-3</v>
      </c>
      <c r="J329" s="149"/>
      <c r="K329" s="6">
        <f t="shared" si="21"/>
        <v>0</v>
      </c>
      <c r="L329" s="6">
        <f t="shared" si="22"/>
        <v>0</v>
      </c>
    </row>
    <row r="330" spans="1:12">
      <c r="A330">
        <f t="shared" si="23"/>
        <v>317</v>
      </c>
      <c r="B330" s="136">
        <f>IF(C$5=Data!D$3,'Step 2 Inflow Hydrograph'!H374,IF(C$5=Data!D$4,'Step 2 Inflow Hydrograph'!I374,IF(C$5=Data!D$5,'Step 2 Inflow Hydrograph'!J374,'Step 2 Inflow Hydrograph'!K374)))</f>
        <v>0</v>
      </c>
      <c r="C330" s="127"/>
      <c r="D330" s="6">
        <f t="shared" si="20"/>
        <v>0</v>
      </c>
      <c r="E330" s="6"/>
      <c r="F330" s="6">
        <f t="shared" si="24"/>
        <v>0</v>
      </c>
      <c r="G330" s="149">
        <f>INDEX('Step 4 Stage Discharge'!E$26:F$126,MATCH(F330,'Step 4 Stage Discharge'!E$26:E$126,1),2)+(INDEX('Step 4 Stage Discharge'!E$26:F$126,MATCH(F330,'Step 4 Stage Discharge'!E$26:E$126,1)+1,2)-INDEX('Step 4 Stage Discharge'!E$26:F$126,MATCH(F330,'Step 4 Stage Discharge'!E$26:E$126,1),2))*(F330-INDEX('Step 4 Stage Discharge'!E$26:F$126,MATCH(F330,'Step 4 Stage Discharge'!E$26:E$126,1),1))/(INDEX('Step 4 Stage Discharge'!E$26:F$126,MATCH(F330,'Step 4 Stage Discharge'!E$26:E$126,1)+1,1)-INDEX('Step 4 Stage Discharge'!E$26:F$126,MATCH(F330,'Step 4 Stage Discharge'!E$26:E$126,1),1))</f>
        <v>0</v>
      </c>
      <c r="H330" s="149"/>
      <c r="I330" s="149">
        <f>INDEX('Step 4 Stage Discharge'!E$26:M$126,MATCH(F330,'Step 4 Stage Discharge'!E$26:E$126,1),9)+(INDEX('Step 4 Stage Discharge'!E$26:M$126,MATCH('Step 5 Routing'!F330,'Step 4 Stage Discharge'!E$26:E$126,1)+1,9)-INDEX('Step 4 Stage Discharge'!E$26:M$126,MATCH('Step 5 Routing'!F330,'Step 4 Stage Discharge'!E$26:E$126,1),9))*('Step 5 Routing'!F330-INDEX('Step 4 Stage Discharge'!E$26:M$126,MATCH('Step 5 Routing'!F330,'Step 4 Stage Discharge'!E$26:E$126,1),1))/(INDEX('Step 4 Stage Discharge'!E$26:M$126,MATCH('Step 5 Routing'!F330,'Step 4 Stage Discharge'!E$26:E$126,1)+1,1)-INDEX('Step 4 Stage Discharge'!E$26:M$126,MATCH('Step 5 Routing'!F330,'Step 4 Stage Discharge'!E$26:E$126,1),1))</f>
        <v>4.3639431710317386E-3</v>
      </c>
      <c r="J330" s="149"/>
      <c r="K330" s="6">
        <f t="shared" si="21"/>
        <v>0</v>
      </c>
      <c r="L330" s="6">
        <f t="shared" si="22"/>
        <v>0</v>
      </c>
    </row>
    <row r="331" spans="1:12">
      <c r="A331">
        <f t="shared" si="23"/>
        <v>318</v>
      </c>
      <c r="B331" s="136">
        <f>IF(C$5=Data!D$3,'Step 2 Inflow Hydrograph'!H375,IF(C$5=Data!D$4,'Step 2 Inflow Hydrograph'!I375,IF(C$5=Data!D$5,'Step 2 Inflow Hydrograph'!J375,'Step 2 Inflow Hydrograph'!K375)))</f>
        <v>0</v>
      </c>
      <c r="C331" s="127"/>
      <c r="D331" s="6">
        <f t="shared" si="20"/>
        <v>0</v>
      </c>
      <c r="E331" s="6"/>
      <c r="F331" s="6">
        <f t="shared" si="24"/>
        <v>0</v>
      </c>
      <c r="G331" s="149">
        <f>INDEX('Step 4 Stage Discharge'!E$26:F$126,MATCH(F331,'Step 4 Stage Discharge'!E$26:E$126,1),2)+(INDEX('Step 4 Stage Discharge'!E$26:F$126,MATCH(F331,'Step 4 Stage Discharge'!E$26:E$126,1)+1,2)-INDEX('Step 4 Stage Discharge'!E$26:F$126,MATCH(F331,'Step 4 Stage Discharge'!E$26:E$126,1),2))*(F331-INDEX('Step 4 Stage Discharge'!E$26:F$126,MATCH(F331,'Step 4 Stage Discharge'!E$26:E$126,1),1))/(INDEX('Step 4 Stage Discharge'!E$26:F$126,MATCH(F331,'Step 4 Stage Discharge'!E$26:E$126,1)+1,1)-INDEX('Step 4 Stage Discharge'!E$26:F$126,MATCH(F331,'Step 4 Stage Discharge'!E$26:E$126,1),1))</f>
        <v>0</v>
      </c>
      <c r="H331" s="149"/>
      <c r="I331" s="149">
        <f>INDEX('Step 4 Stage Discharge'!E$26:M$126,MATCH(F331,'Step 4 Stage Discharge'!E$26:E$126,1),9)+(INDEX('Step 4 Stage Discharge'!E$26:M$126,MATCH('Step 5 Routing'!F331,'Step 4 Stage Discharge'!E$26:E$126,1)+1,9)-INDEX('Step 4 Stage Discharge'!E$26:M$126,MATCH('Step 5 Routing'!F331,'Step 4 Stage Discharge'!E$26:E$126,1),9))*('Step 5 Routing'!F331-INDEX('Step 4 Stage Discharge'!E$26:M$126,MATCH('Step 5 Routing'!F331,'Step 4 Stage Discharge'!E$26:E$126,1),1))/(INDEX('Step 4 Stage Discharge'!E$26:M$126,MATCH('Step 5 Routing'!F331,'Step 4 Stage Discharge'!E$26:E$126,1)+1,1)-INDEX('Step 4 Stage Discharge'!E$26:M$126,MATCH('Step 5 Routing'!F331,'Step 4 Stage Discharge'!E$26:E$126,1),1))</f>
        <v>4.3639431710317386E-3</v>
      </c>
      <c r="J331" s="149"/>
      <c r="K331" s="6">
        <f t="shared" si="21"/>
        <v>0</v>
      </c>
      <c r="L331" s="6">
        <f t="shared" si="22"/>
        <v>0</v>
      </c>
    </row>
    <row r="332" spans="1:12">
      <c r="A332">
        <f t="shared" si="23"/>
        <v>319</v>
      </c>
      <c r="B332" s="136">
        <f>IF(C$5=Data!D$3,'Step 2 Inflow Hydrograph'!H376,IF(C$5=Data!D$4,'Step 2 Inflow Hydrograph'!I376,IF(C$5=Data!D$5,'Step 2 Inflow Hydrograph'!J376,'Step 2 Inflow Hydrograph'!K376)))</f>
        <v>0</v>
      </c>
      <c r="C332" s="127"/>
      <c r="D332" s="6">
        <f t="shared" si="20"/>
        <v>0</v>
      </c>
      <c r="E332" s="6"/>
      <c r="F332" s="6">
        <f t="shared" si="24"/>
        <v>0</v>
      </c>
      <c r="G332" s="149">
        <f>INDEX('Step 4 Stage Discharge'!E$26:F$126,MATCH(F332,'Step 4 Stage Discharge'!E$26:E$126,1),2)+(INDEX('Step 4 Stage Discharge'!E$26:F$126,MATCH(F332,'Step 4 Stage Discharge'!E$26:E$126,1)+1,2)-INDEX('Step 4 Stage Discharge'!E$26:F$126,MATCH(F332,'Step 4 Stage Discharge'!E$26:E$126,1),2))*(F332-INDEX('Step 4 Stage Discharge'!E$26:F$126,MATCH(F332,'Step 4 Stage Discharge'!E$26:E$126,1),1))/(INDEX('Step 4 Stage Discharge'!E$26:F$126,MATCH(F332,'Step 4 Stage Discharge'!E$26:E$126,1)+1,1)-INDEX('Step 4 Stage Discharge'!E$26:F$126,MATCH(F332,'Step 4 Stage Discharge'!E$26:E$126,1),1))</f>
        <v>0</v>
      </c>
      <c r="H332" s="149"/>
      <c r="I332" s="149">
        <f>INDEX('Step 4 Stage Discharge'!E$26:M$126,MATCH(F332,'Step 4 Stage Discharge'!E$26:E$126,1),9)+(INDEX('Step 4 Stage Discharge'!E$26:M$126,MATCH('Step 5 Routing'!F332,'Step 4 Stage Discharge'!E$26:E$126,1)+1,9)-INDEX('Step 4 Stage Discharge'!E$26:M$126,MATCH('Step 5 Routing'!F332,'Step 4 Stage Discharge'!E$26:E$126,1),9))*('Step 5 Routing'!F332-INDEX('Step 4 Stage Discharge'!E$26:M$126,MATCH('Step 5 Routing'!F332,'Step 4 Stage Discharge'!E$26:E$126,1),1))/(INDEX('Step 4 Stage Discharge'!E$26:M$126,MATCH('Step 5 Routing'!F332,'Step 4 Stage Discharge'!E$26:E$126,1)+1,1)-INDEX('Step 4 Stage Discharge'!E$26:M$126,MATCH('Step 5 Routing'!F332,'Step 4 Stage Discharge'!E$26:E$126,1),1))</f>
        <v>4.3639431710317386E-3</v>
      </c>
      <c r="J332" s="149"/>
      <c r="K332" s="6">
        <f t="shared" si="21"/>
        <v>0</v>
      </c>
      <c r="L332" s="6">
        <f t="shared" si="22"/>
        <v>0</v>
      </c>
    </row>
    <row r="333" spans="1:12">
      <c r="A333">
        <f t="shared" si="23"/>
        <v>320</v>
      </c>
      <c r="B333" s="136">
        <f>IF(C$5=Data!D$3,'Step 2 Inflow Hydrograph'!H377,IF(C$5=Data!D$4,'Step 2 Inflow Hydrograph'!I377,IF(C$5=Data!D$5,'Step 2 Inflow Hydrograph'!J377,'Step 2 Inflow Hydrograph'!K377)))</f>
        <v>0</v>
      </c>
      <c r="C333" s="127"/>
      <c r="D333" s="6">
        <f t="shared" ref="D333:D396" si="25">IF(B333="",0,B333*D$8*60)</f>
        <v>0</v>
      </c>
      <c r="E333" s="6"/>
      <c r="F333" s="6">
        <f t="shared" si="24"/>
        <v>0</v>
      </c>
      <c r="G333" s="149">
        <f>INDEX('Step 4 Stage Discharge'!E$26:F$126,MATCH(F333,'Step 4 Stage Discharge'!E$26:E$126,1),2)+(INDEX('Step 4 Stage Discharge'!E$26:F$126,MATCH(F333,'Step 4 Stage Discharge'!E$26:E$126,1)+1,2)-INDEX('Step 4 Stage Discharge'!E$26:F$126,MATCH(F333,'Step 4 Stage Discharge'!E$26:E$126,1),2))*(F333-INDEX('Step 4 Stage Discharge'!E$26:F$126,MATCH(F333,'Step 4 Stage Discharge'!E$26:E$126,1),1))/(INDEX('Step 4 Stage Discharge'!E$26:F$126,MATCH(F333,'Step 4 Stage Discharge'!E$26:E$126,1)+1,1)-INDEX('Step 4 Stage Discharge'!E$26:F$126,MATCH(F333,'Step 4 Stage Discharge'!E$26:E$126,1),1))</f>
        <v>0</v>
      </c>
      <c r="H333" s="149"/>
      <c r="I333" s="149">
        <f>INDEX('Step 4 Stage Discharge'!E$26:M$126,MATCH(F333,'Step 4 Stage Discharge'!E$26:E$126,1),9)+(INDEX('Step 4 Stage Discharge'!E$26:M$126,MATCH('Step 5 Routing'!F333,'Step 4 Stage Discharge'!E$26:E$126,1)+1,9)-INDEX('Step 4 Stage Discharge'!E$26:M$126,MATCH('Step 5 Routing'!F333,'Step 4 Stage Discharge'!E$26:E$126,1),9))*('Step 5 Routing'!F333-INDEX('Step 4 Stage Discharge'!E$26:M$126,MATCH('Step 5 Routing'!F333,'Step 4 Stage Discharge'!E$26:E$126,1),1))/(INDEX('Step 4 Stage Discharge'!E$26:M$126,MATCH('Step 5 Routing'!F333,'Step 4 Stage Discharge'!E$26:E$126,1)+1,1)-INDEX('Step 4 Stage Discharge'!E$26:M$126,MATCH('Step 5 Routing'!F333,'Step 4 Stage Discharge'!E$26:E$126,1),1))</f>
        <v>4.3639431710317386E-3</v>
      </c>
      <c r="J333" s="149"/>
      <c r="K333" s="6">
        <f t="shared" ref="K333:K396" si="26">IF(I333*60*D$8&gt;F333,F333,I333*60*D$8)</f>
        <v>0</v>
      </c>
      <c r="L333" s="6">
        <f t="shared" ref="L333:L396" si="27">IF(F333-K333&lt;0,0,F333-K333)</f>
        <v>0</v>
      </c>
    </row>
    <row r="334" spans="1:12">
      <c r="A334">
        <f t="shared" ref="A334:A397" si="28">+A333+D$8</f>
        <v>321</v>
      </c>
      <c r="B334" s="136">
        <f>IF(C$5=Data!D$3,'Step 2 Inflow Hydrograph'!H378,IF(C$5=Data!D$4,'Step 2 Inflow Hydrograph'!I378,IF(C$5=Data!D$5,'Step 2 Inflow Hydrograph'!J378,'Step 2 Inflow Hydrograph'!K378)))</f>
        <v>0</v>
      </c>
      <c r="C334" s="127"/>
      <c r="D334" s="6">
        <f t="shared" si="25"/>
        <v>0</v>
      </c>
      <c r="E334" s="6"/>
      <c r="F334" s="6">
        <f t="shared" ref="F334:F397" si="29">+L333+D334</f>
        <v>0</v>
      </c>
      <c r="G334" s="149">
        <f>INDEX('Step 4 Stage Discharge'!E$26:F$126,MATCH(F334,'Step 4 Stage Discharge'!E$26:E$126,1),2)+(INDEX('Step 4 Stage Discharge'!E$26:F$126,MATCH(F334,'Step 4 Stage Discharge'!E$26:E$126,1)+1,2)-INDEX('Step 4 Stage Discharge'!E$26:F$126,MATCH(F334,'Step 4 Stage Discharge'!E$26:E$126,1),2))*(F334-INDEX('Step 4 Stage Discharge'!E$26:F$126,MATCH(F334,'Step 4 Stage Discharge'!E$26:E$126,1),1))/(INDEX('Step 4 Stage Discharge'!E$26:F$126,MATCH(F334,'Step 4 Stage Discharge'!E$26:E$126,1)+1,1)-INDEX('Step 4 Stage Discharge'!E$26:F$126,MATCH(F334,'Step 4 Stage Discharge'!E$26:E$126,1),1))</f>
        <v>0</v>
      </c>
      <c r="H334" s="149"/>
      <c r="I334" s="149">
        <f>INDEX('Step 4 Stage Discharge'!E$26:M$126,MATCH(F334,'Step 4 Stage Discharge'!E$26:E$126,1),9)+(INDEX('Step 4 Stage Discharge'!E$26:M$126,MATCH('Step 5 Routing'!F334,'Step 4 Stage Discharge'!E$26:E$126,1)+1,9)-INDEX('Step 4 Stage Discharge'!E$26:M$126,MATCH('Step 5 Routing'!F334,'Step 4 Stage Discharge'!E$26:E$126,1),9))*('Step 5 Routing'!F334-INDEX('Step 4 Stage Discharge'!E$26:M$126,MATCH('Step 5 Routing'!F334,'Step 4 Stage Discharge'!E$26:E$126,1),1))/(INDEX('Step 4 Stage Discharge'!E$26:M$126,MATCH('Step 5 Routing'!F334,'Step 4 Stage Discharge'!E$26:E$126,1)+1,1)-INDEX('Step 4 Stage Discharge'!E$26:M$126,MATCH('Step 5 Routing'!F334,'Step 4 Stage Discharge'!E$26:E$126,1),1))</f>
        <v>4.3639431710317386E-3</v>
      </c>
      <c r="J334" s="149"/>
      <c r="K334" s="6">
        <f t="shared" si="26"/>
        <v>0</v>
      </c>
      <c r="L334" s="6">
        <f t="shared" si="27"/>
        <v>0</v>
      </c>
    </row>
    <row r="335" spans="1:12">
      <c r="A335">
        <f t="shared" si="28"/>
        <v>322</v>
      </c>
      <c r="B335" s="136">
        <f>IF(C$5=Data!D$3,'Step 2 Inflow Hydrograph'!H379,IF(C$5=Data!D$4,'Step 2 Inflow Hydrograph'!I379,IF(C$5=Data!D$5,'Step 2 Inflow Hydrograph'!J379,'Step 2 Inflow Hydrograph'!K379)))</f>
        <v>0</v>
      </c>
      <c r="C335" s="127"/>
      <c r="D335" s="6">
        <f t="shared" si="25"/>
        <v>0</v>
      </c>
      <c r="E335" s="6"/>
      <c r="F335" s="6">
        <f t="shared" si="29"/>
        <v>0</v>
      </c>
      <c r="G335" s="149">
        <f>INDEX('Step 4 Stage Discharge'!E$26:F$126,MATCH(F335,'Step 4 Stage Discharge'!E$26:E$126,1),2)+(INDEX('Step 4 Stage Discharge'!E$26:F$126,MATCH(F335,'Step 4 Stage Discharge'!E$26:E$126,1)+1,2)-INDEX('Step 4 Stage Discharge'!E$26:F$126,MATCH(F335,'Step 4 Stage Discharge'!E$26:E$126,1),2))*(F335-INDEX('Step 4 Stage Discharge'!E$26:F$126,MATCH(F335,'Step 4 Stage Discharge'!E$26:E$126,1),1))/(INDEX('Step 4 Stage Discharge'!E$26:F$126,MATCH(F335,'Step 4 Stage Discharge'!E$26:E$126,1)+1,1)-INDEX('Step 4 Stage Discharge'!E$26:F$126,MATCH(F335,'Step 4 Stage Discharge'!E$26:E$126,1),1))</f>
        <v>0</v>
      </c>
      <c r="H335" s="149"/>
      <c r="I335" s="149">
        <f>INDEX('Step 4 Stage Discharge'!E$26:M$126,MATCH(F335,'Step 4 Stage Discharge'!E$26:E$126,1),9)+(INDEX('Step 4 Stage Discharge'!E$26:M$126,MATCH('Step 5 Routing'!F335,'Step 4 Stage Discharge'!E$26:E$126,1)+1,9)-INDEX('Step 4 Stage Discharge'!E$26:M$126,MATCH('Step 5 Routing'!F335,'Step 4 Stage Discharge'!E$26:E$126,1),9))*('Step 5 Routing'!F335-INDEX('Step 4 Stage Discharge'!E$26:M$126,MATCH('Step 5 Routing'!F335,'Step 4 Stage Discharge'!E$26:E$126,1),1))/(INDEX('Step 4 Stage Discharge'!E$26:M$126,MATCH('Step 5 Routing'!F335,'Step 4 Stage Discharge'!E$26:E$126,1)+1,1)-INDEX('Step 4 Stage Discharge'!E$26:M$126,MATCH('Step 5 Routing'!F335,'Step 4 Stage Discharge'!E$26:E$126,1),1))</f>
        <v>4.3639431710317386E-3</v>
      </c>
      <c r="J335" s="149"/>
      <c r="K335" s="6">
        <f t="shared" si="26"/>
        <v>0</v>
      </c>
      <c r="L335" s="6">
        <f t="shared" si="27"/>
        <v>0</v>
      </c>
    </row>
    <row r="336" spans="1:12">
      <c r="A336">
        <f t="shared" si="28"/>
        <v>323</v>
      </c>
      <c r="B336" s="136">
        <f>IF(C$5=Data!D$3,'Step 2 Inflow Hydrograph'!H380,IF(C$5=Data!D$4,'Step 2 Inflow Hydrograph'!I380,IF(C$5=Data!D$5,'Step 2 Inflow Hydrograph'!J380,'Step 2 Inflow Hydrograph'!K380)))</f>
        <v>0</v>
      </c>
      <c r="C336" s="127"/>
      <c r="D336" s="6">
        <f t="shared" si="25"/>
        <v>0</v>
      </c>
      <c r="E336" s="6"/>
      <c r="F336" s="6">
        <f t="shared" si="29"/>
        <v>0</v>
      </c>
      <c r="G336" s="149">
        <f>INDEX('Step 4 Stage Discharge'!E$26:F$126,MATCH(F336,'Step 4 Stage Discharge'!E$26:E$126,1),2)+(INDEX('Step 4 Stage Discharge'!E$26:F$126,MATCH(F336,'Step 4 Stage Discharge'!E$26:E$126,1)+1,2)-INDEX('Step 4 Stage Discharge'!E$26:F$126,MATCH(F336,'Step 4 Stage Discharge'!E$26:E$126,1),2))*(F336-INDEX('Step 4 Stage Discharge'!E$26:F$126,MATCH(F336,'Step 4 Stage Discharge'!E$26:E$126,1),1))/(INDEX('Step 4 Stage Discharge'!E$26:F$126,MATCH(F336,'Step 4 Stage Discharge'!E$26:E$126,1)+1,1)-INDEX('Step 4 Stage Discharge'!E$26:F$126,MATCH(F336,'Step 4 Stage Discharge'!E$26:E$126,1),1))</f>
        <v>0</v>
      </c>
      <c r="H336" s="149"/>
      <c r="I336" s="149">
        <f>INDEX('Step 4 Stage Discharge'!E$26:M$126,MATCH(F336,'Step 4 Stage Discharge'!E$26:E$126,1),9)+(INDEX('Step 4 Stage Discharge'!E$26:M$126,MATCH('Step 5 Routing'!F336,'Step 4 Stage Discharge'!E$26:E$126,1)+1,9)-INDEX('Step 4 Stage Discharge'!E$26:M$126,MATCH('Step 5 Routing'!F336,'Step 4 Stage Discharge'!E$26:E$126,1),9))*('Step 5 Routing'!F336-INDEX('Step 4 Stage Discharge'!E$26:M$126,MATCH('Step 5 Routing'!F336,'Step 4 Stage Discharge'!E$26:E$126,1),1))/(INDEX('Step 4 Stage Discharge'!E$26:M$126,MATCH('Step 5 Routing'!F336,'Step 4 Stage Discharge'!E$26:E$126,1)+1,1)-INDEX('Step 4 Stage Discharge'!E$26:M$126,MATCH('Step 5 Routing'!F336,'Step 4 Stage Discharge'!E$26:E$126,1),1))</f>
        <v>4.3639431710317386E-3</v>
      </c>
      <c r="J336" s="149"/>
      <c r="K336" s="6">
        <f t="shared" si="26"/>
        <v>0</v>
      </c>
      <c r="L336" s="6">
        <f t="shared" si="27"/>
        <v>0</v>
      </c>
    </row>
    <row r="337" spans="1:12">
      <c r="A337">
        <f t="shared" si="28"/>
        <v>324</v>
      </c>
      <c r="B337" s="136">
        <f>IF(C$5=Data!D$3,'Step 2 Inflow Hydrograph'!H381,IF(C$5=Data!D$4,'Step 2 Inflow Hydrograph'!I381,IF(C$5=Data!D$5,'Step 2 Inflow Hydrograph'!J381,'Step 2 Inflow Hydrograph'!K381)))</f>
        <v>0</v>
      </c>
      <c r="C337" s="127"/>
      <c r="D337" s="6">
        <f t="shared" si="25"/>
        <v>0</v>
      </c>
      <c r="E337" s="6"/>
      <c r="F337" s="6">
        <f t="shared" si="29"/>
        <v>0</v>
      </c>
      <c r="G337" s="149">
        <f>INDEX('Step 4 Stage Discharge'!E$26:F$126,MATCH(F337,'Step 4 Stage Discharge'!E$26:E$126,1),2)+(INDEX('Step 4 Stage Discharge'!E$26:F$126,MATCH(F337,'Step 4 Stage Discharge'!E$26:E$126,1)+1,2)-INDEX('Step 4 Stage Discharge'!E$26:F$126,MATCH(F337,'Step 4 Stage Discharge'!E$26:E$126,1),2))*(F337-INDEX('Step 4 Stage Discharge'!E$26:F$126,MATCH(F337,'Step 4 Stage Discharge'!E$26:E$126,1),1))/(INDEX('Step 4 Stage Discharge'!E$26:F$126,MATCH(F337,'Step 4 Stage Discharge'!E$26:E$126,1)+1,1)-INDEX('Step 4 Stage Discharge'!E$26:F$126,MATCH(F337,'Step 4 Stage Discharge'!E$26:E$126,1),1))</f>
        <v>0</v>
      </c>
      <c r="H337" s="149"/>
      <c r="I337" s="149">
        <f>INDEX('Step 4 Stage Discharge'!E$26:M$126,MATCH(F337,'Step 4 Stage Discharge'!E$26:E$126,1),9)+(INDEX('Step 4 Stage Discharge'!E$26:M$126,MATCH('Step 5 Routing'!F337,'Step 4 Stage Discharge'!E$26:E$126,1)+1,9)-INDEX('Step 4 Stage Discharge'!E$26:M$126,MATCH('Step 5 Routing'!F337,'Step 4 Stage Discharge'!E$26:E$126,1),9))*('Step 5 Routing'!F337-INDEX('Step 4 Stage Discharge'!E$26:M$126,MATCH('Step 5 Routing'!F337,'Step 4 Stage Discharge'!E$26:E$126,1),1))/(INDEX('Step 4 Stage Discharge'!E$26:M$126,MATCH('Step 5 Routing'!F337,'Step 4 Stage Discharge'!E$26:E$126,1)+1,1)-INDEX('Step 4 Stage Discharge'!E$26:M$126,MATCH('Step 5 Routing'!F337,'Step 4 Stage Discharge'!E$26:E$126,1),1))</f>
        <v>4.3639431710317386E-3</v>
      </c>
      <c r="J337" s="149"/>
      <c r="K337" s="6">
        <f t="shared" si="26"/>
        <v>0</v>
      </c>
      <c r="L337" s="6">
        <f t="shared" si="27"/>
        <v>0</v>
      </c>
    </row>
    <row r="338" spans="1:12">
      <c r="A338">
        <f t="shared" si="28"/>
        <v>325</v>
      </c>
      <c r="B338" s="136">
        <f>IF(C$5=Data!D$3,'Step 2 Inflow Hydrograph'!H382,IF(C$5=Data!D$4,'Step 2 Inflow Hydrograph'!I382,IF(C$5=Data!D$5,'Step 2 Inflow Hydrograph'!J382,'Step 2 Inflow Hydrograph'!K382)))</f>
        <v>0</v>
      </c>
      <c r="C338" s="127"/>
      <c r="D338" s="6">
        <f t="shared" si="25"/>
        <v>0</v>
      </c>
      <c r="E338" s="6"/>
      <c r="F338" s="6">
        <f t="shared" si="29"/>
        <v>0</v>
      </c>
      <c r="G338" s="149">
        <f>INDEX('Step 4 Stage Discharge'!E$26:F$126,MATCH(F338,'Step 4 Stage Discharge'!E$26:E$126,1),2)+(INDEX('Step 4 Stage Discharge'!E$26:F$126,MATCH(F338,'Step 4 Stage Discharge'!E$26:E$126,1)+1,2)-INDEX('Step 4 Stage Discharge'!E$26:F$126,MATCH(F338,'Step 4 Stage Discharge'!E$26:E$126,1),2))*(F338-INDEX('Step 4 Stage Discharge'!E$26:F$126,MATCH(F338,'Step 4 Stage Discharge'!E$26:E$126,1),1))/(INDEX('Step 4 Stage Discharge'!E$26:F$126,MATCH(F338,'Step 4 Stage Discharge'!E$26:E$126,1)+1,1)-INDEX('Step 4 Stage Discharge'!E$26:F$126,MATCH(F338,'Step 4 Stage Discharge'!E$26:E$126,1),1))</f>
        <v>0</v>
      </c>
      <c r="H338" s="149"/>
      <c r="I338" s="149">
        <f>INDEX('Step 4 Stage Discharge'!E$26:M$126,MATCH(F338,'Step 4 Stage Discharge'!E$26:E$126,1),9)+(INDEX('Step 4 Stage Discharge'!E$26:M$126,MATCH('Step 5 Routing'!F338,'Step 4 Stage Discharge'!E$26:E$126,1)+1,9)-INDEX('Step 4 Stage Discharge'!E$26:M$126,MATCH('Step 5 Routing'!F338,'Step 4 Stage Discharge'!E$26:E$126,1),9))*('Step 5 Routing'!F338-INDEX('Step 4 Stage Discharge'!E$26:M$126,MATCH('Step 5 Routing'!F338,'Step 4 Stage Discharge'!E$26:E$126,1),1))/(INDEX('Step 4 Stage Discharge'!E$26:M$126,MATCH('Step 5 Routing'!F338,'Step 4 Stage Discharge'!E$26:E$126,1)+1,1)-INDEX('Step 4 Stage Discharge'!E$26:M$126,MATCH('Step 5 Routing'!F338,'Step 4 Stage Discharge'!E$26:E$126,1),1))</f>
        <v>4.3639431710317386E-3</v>
      </c>
      <c r="J338" s="149"/>
      <c r="K338" s="6">
        <f t="shared" si="26"/>
        <v>0</v>
      </c>
      <c r="L338" s="6">
        <f t="shared" si="27"/>
        <v>0</v>
      </c>
    </row>
    <row r="339" spans="1:12">
      <c r="A339">
        <f t="shared" si="28"/>
        <v>326</v>
      </c>
      <c r="B339" s="136">
        <f>IF(C$5=Data!D$3,'Step 2 Inflow Hydrograph'!H383,IF(C$5=Data!D$4,'Step 2 Inflow Hydrograph'!I383,IF(C$5=Data!D$5,'Step 2 Inflow Hydrograph'!J383,'Step 2 Inflow Hydrograph'!K383)))</f>
        <v>0</v>
      </c>
      <c r="C339" s="127"/>
      <c r="D339" s="6">
        <f t="shared" si="25"/>
        <v>0</v>
      </c>
      <c r="E339" s="6"/>
      <c r="F339" s="6">
        <f t="shared" si="29"/>
        <v>0</v>
      </c>
      <c r="G339" s="149">
        <f>INDEX('Step 4 Stage Discharge'!E$26:F$126,MATCH(F339,'Step 4 Stage Discharge'!E$26:E$126,1),2)+(INDEX('Step 4 Stage Discharge'!E$26:F$126,MATCH(F339,'Step 4 Stage Discharge'!E$26:E$126,1)+1,2)-INDEX('Step 4 Stage Discharge'!E$26:F$126,MATCH(F339,'Step 4 Stage Discharge'!E$26:E$126,1),2))*(F339-INDEX('Step 4 Stage Discharge'!E$26:F$126,MATCH(F339,'Step 4 Stage Discharge'!E$26:E$126,1),1))/(INDEX('Step 4 Stage Discharge'!E$26:F$126,MATCH(F339,'Step 4 Stage Discharge'!E$26:E$126,1)+1,1)-INDEX('Step 4 Stage Discharge'!E$26:F$126,MATCH(F339,'Step 4 Stage Discharge'!E$26:E$126,1),1))</f>
        <v>0</v>
      </c>
      <c r="H339" s="149"/>
      <c r="I339" s="149">
        <f>INDEX('Step 4 Stage Discharge'!E$26:M$126,MATCH(F339,'Step 4 Stage Discharge'!E$26:E$126,1),9)+(INDEX('Step 4 Stage Discharge'!E$26:M$126,MATCH('Step 5 Routing'!F339,'Step 4 Stage Discharge'!E$26:E$126,1)+1,9)-INDEX('Step 4 Stage Discharge'!E$26:M$126,MATCH('Step 5 Routing'!F339,'Step 4 Stage Discharge'!E$26:E$126,1),9))*('Step 5 Routing'!F339-INDEX('Step 4 Stage Discharge'!E$26:M$126,MATCH('Step 5 Routing'!F339,'Step 4 Stage Discharge'!E$26:E$126,1),1))/(INDEX('Step 4 Stage Discharge'!E$26:M$126,MATCH('Step 5 Routing'!F339,'Step 4 Stage Discharge'!E$26:E$126,1)+1,1)-INDEX('Step 4 Stage Discharge'!E$26:M$126,MATCH('Step 5 Routing'!F339,'Step 4 Stage Discharge'!E$26:E$126,1),1))</f>
        <v>4.3639431710317386E-3</v>
      </c>
      <c r="J339" s="149"/>
      <c r="K339" s="6">
        <f t="shared" si="26"/>
        <v>0</v>
      </c>
      <c r="L339" s="6">
        <f t="shared" si="27"/>
        <v>0</v>
      </c>
    </row>
    <row r="340" spans="1:12">
      <c r="A340">
        <f t="shared" si="28"/>
        <v>327</v>
      </c>
      <c r="B340" s="136">
        <f>IF(C$5=Data!D$3,'Step 2 Inflow Hydrograph'!H384,IF(C$5=Data!D$4,'Step 2 Inflow Hydrograph'!I384,IF(C$5=Data!D$5,'Step 2 Inflow Hydrograph'!J384,'Step 2 Inflow Hydrograph'!K384)))</f>
        <v>0</v>
      </c>
      <c r="C340" s="127"/>
      <c r="D340" s="6">
        <f t="shared" si="25"/>
        <v>0</v>
      </c>
      <c r="E340" s="6"/>
      <c r="F340" s="6">
        <f t="shared" si="29"/>
        <v>0</v>
      </c>
      <c r="G340" s="149">
        <f>INDEX('Step 4 Stage Discharge'!E$26:F$126,MATCH(F340,'Step 4 Stage Discharge'!E$26:E$126,1),2)+(INDEX('Step 4 Stage Discharge'!E$26:F$126,MATCH(F340,'Step 4 Stage Discharge'!E$26:E$126,1)+1,2)-INDEX('Step 4 Stage Discharge'!E$26:F$126,MATCH(F340,'Step 4 Stage Discharge'!E$26:E$126,1),2))*(F340-INDEX('Step 4 Stage Discharge'!E$26:F$126,MATCH(F340,'Step 4 Stage Discharge'!E$26:E$126,1),1))/(INDEX('Step 4 Stage Discharge'!E$26:F$126,MATCH(F340,'Step 4 Stage Discharge'!E$26:E$126,1)+1,1)-INDEX('Step 4 Stage Discharge'!E$26:F$126,MATCH(F340,'Step 4 Stage Discharge'!E$26:E$126,1),1))</f>
        <v>0</v>
      </c>
      <c r="H340" s="149"/>
      <c r="I340" s="149">
        <f>INDEX('Step 4 Stage Discharge'!E$26:M$126,MATCH(F340,'Step 4 Stage Discharge'!E$26:E$126,1),9)+(INDEX('Step 4 Stage Discharge'!E$26:M$126,MATCH('Step 5 Routing'!F340,'Step 4 Stage Discharge'!E$26:E$126,1)+1,9)-INDEX('Step 4 Stage Discharge'!E$26:M$126,MATCH('Step 5 Routing'!F340,'Step 4 Stage Discharge'!E$26:E$126,1),9))*('Step 5 Routing'!F340-INDEX('Step 4 Stage Discharge'!E$26:M$126,MATCH('Step 5 Routing'!F340,'Step 4 Stage Discharge'!E$26:E$126,1),1))/(INDEX('Step 4 Stage Discharge'!E$26:M$126,MATCH('Step 5 Routing'!F340,'Step 4 Stage Discharge'!E$26:E$126,1)+1,1)-INDEX('Step 4 Stage Discharge'!E$26:M$126,MATCH('Step 5 Routing'!F340,'Step 4 Stage Discharge'!E$26:E$126,1),1))</f>
        <v>4.3639431710317386E-3</v>
      </c>
      <c r="J340" s="149"/>
      <c r="K340" s="6">
        <f t="shared" si="26"/>
        <v>0</v>
      </c>
      <c r="L340" s="6">
        <f t="shared" si="27"/>
        <v>0</v>
      </c>
    </row>
    <row r="341" spans="1:12">
      <c r="A341">
        <f t="shared" si="28"/>
        <v>328</v>
      </c>
      <c r="B341" s="136">
        <f>IF(C$5=Data!D$3,'Step 2 Inflow Hydrograph'!H385,IF(C$5=Data!D$4,'Step 2 Inflow Hydrograph'!I385,IF(C$5=Data!D$5,'Step 2 Inflow Hydrograph'!J385,'Step 2 Inflow Hydrograph'!K385)))</f>
        <v>0</v>
      </c>
      <c r="C341" s="127"/>
      <c r="D341" s="6">
        <f t="shared" si="25"/>
        <v>0</v>
      </c>
      <c r="E341" s="6"/>
      <c r="F341" s="6">
        <f t="shared" si="29"/>
        <v>0</v>
      </c>
      <c r="G341" s="149">
        <f>INDEX('Step 4 Stage Discharge'!E$26:F$126,MATCH(F341,'Step 4 Stage Discharge'!E$26:E$126,1),2)+(INDEX('Step 4 Stage Discharge'!E$26:F$126,MATCH(F341,'Step 4 Stage Discharge'!E$26:E$126,1)+1,2)-INDEX('Step 4 Stage Discharge'!E$26:F$126,MATCH(F341,'Step 4 Stage Discharge'!E$26:E$126,1),2))*(F341-INDEX('Step 4 Stage Discharge'!E$26:F$126,MATCH(F341,'Step 4 Stage Discharge'!E$26:E$126,1),1))/(INDEX('Step 4 Stage Discharge'!E$26:F$126,MATCH(F341,'Step 4 Stage Discharge'!E$26:E$126,1)+1,1)-INDEX('Step 4 Stage Discharge'!E$26:F$126,MATCH(F341,'Step 4 Stage Discharge'!E$26:E$126,1),1))</f>
        <v>0</v>
      </c>
      <c r="H341" s="149"/>
      <c r="I341" s="149">
        <f>INDEX('Step 4 Stage Discharge'!E$26:M$126,MATCH(F341,'Step 4 Stage Discharge'!E$26:E$126,1),9)+(INDEX('Step 4 Stage Discharge'!E$26:M$126,MATCH('Step 5 Routing'!F341,'Step 4 Stage Discharge'!E$26:E$126,1)+1,9)-INDEX('Step 4 Stage Discharge'!E$26:M$126,MATCH('Step 5 Routing'!F341,'Step 4 Stage Discharge'!E$26:E$126,1),9))*('Step 5 Routing'!F341-INDEX('Step 4 Stage Discharge'!E$26:M$126,MATCH('Step 5 Routing'!F341,'Step 4 Stage Discharge'!E$26:E$126,1),1))/(INDEX('Step 4 Stage Discharge'!E$26:M$126,MATCH('Step 5 Routing'!F341,'Step 4 Stage Discharge'!E$26:E$126,1)+1,1)-INDEX('Step 4 Stage Discharge'!E$26:M$126,MATCH('Step 5 Routing'!F341,'Step 4 Stage Discharge'!E$26:E$126,1),1))</f>
        <v>4.3639431710317386E-3</v>
      </c>
      <c r="J341" s="149"/>
      <c r="K341" s="6">
        <f t="shared" si="26"/>
        <v>0</v>
      </c>
      <c r="L341" s="6">
        <f t="shared" si="27"/>
        <v>0</v>
      </c>
    </row>
    <row r="342" spans="1:12">
      <c r="A342">
        <f t="shared" si="28"/>
        <v>329</v>
      </c>
      <c r="B342" s="136">
        <f>IF(C$5=Data!D$3,'Step 2 Inflow Hydrograph'!H386,IF(C$5=Data!D$4,'Step 2 Inflow Hydrograph'!I386,IF(C$5=Data!D$5,'Step 2 Inflow Hydrograph'!J386,'Step 2 Inflow Hydrograph'!K386)))</f>
        <v>0</v>
      </c>
      <c r="C342" s="127"/>
      <c r="D342" s="6">
        <f t="shared" si="25"/>
        <v>0</v>
      </c>
      <c r="E342" s="6"/>
      <c r="F342" s="6">
        <f t="shared" si="29"/>
        <v>0</v>
      </c>
      <c r="G342" s="149">
        <f>INDEX('Step 4 Stage Discharge'!E$26:F$126,MATCH(F342,'Step 4 Stage Discharge'!E$26:E$126,1),2)+(INDEX('Step 4 Stage Discharge'!E$26:F$126,MATCH(F342,'Step 4 Stage Discharge'!E$26:E$126,1)+1,2)-INDEX('Step 4 Stage Discharge'!E$26:F$126,MATCH(F342,'Step 4 Stage Discharge'!E$26:E$126,1),2))*(F342-INDEX('Step 4 Stage Discharge'!E$26:F$126,MATCH(F342,'Step 4 Stage Discharge'!E$26:E$126,1),1))/(INDEX('Step 4 Stage Discharge'!E$26:F$126,MATCH(F342,'Step 4 Stage Discharge'!E$26:E$126,1)+1,1)-INDEX('Step 4 Stage Discharge'!E$26:F$126,MATCH(F342,'Step 4 Stage Discharge'!E$26:E$126,1),1))</f>
        <v>0</v>
      </c>
      <c r="H342" s="149"/>
      <c r="I342" s="149">
        <f>INDEX('Step 4 Stage Discharge'!E$26:M$126,MATCH(F342,'Step 4 Stage Discharge'!E$26:E$126,1),9)+(INDEX('Step 4 Stage Discharge'!E$26:M$126,MATCH('Step 5 Routing'!F342,'Step 4 Stage Discharge'!E$26:E$126,1)+1,9)-INDEX('Step 4 Stage Discharge'!E$26:M$126,MATCH('Step 5 Routing'!F342,'Step 4 Stage Discharge'!E$26:E$126,1),9))*('Step 5 Routing'!F342-INDEX('Step 4 Stage Discharge'!E$26:M$126,MATCH('Step 5 Routing'!F342,'Step 4 Stage Discharge'!E$26:E$126,1),1))/(INDEX('Step 4 Stage Discharge'!E$26:M$126,MATCH('Step 5 Routing'!F342,'Step 4 Stage Discharge'!E$26:E$126,1)+1,1)-INDEX('Step 4 Stage Discharge'!E$26:M$126,MATCH('Step 5 Routing'!F342,'Step 4 Stage Discharge'!E$26:E$126,1),1))</f>
        <v>4.3639431710317386E-3</v>
      </c>
      <c r="J342" s="149"/>
      <c r="K342" s="6">
        <f t="shared" si="26"/>
        <v>0</v>
      </c>
      <c r="L342" s="6">
        <f t="shared" si="27"/>
        <v>0</v>
      </c>
    </row>
    <row r="343" spans="1:12">
      <c r="A343">
        <f t="shared" si="28"/>
        <v>330</v>
      </c>
      <c r="B343" s="136">
        <f>IF(C$5=Data!D$3,'Step 2 Inflow Hydrograph'!H387,IF(C$5=Data!D$4,'Step 2 Inflow Hydrograph'!I387,IF(C$5=Data!D$5,'Step 2 Inflow Hydrograph'!J387,'Step 2 Inflow Hydrograph'!K387)))</f>
        <v>0</v>
      </c>
      <c r="C343" s="127"/>
      <c r="D343" s="6">
        <f t="shared" si="25"/>
        <v>0</v>
      </c>
      <c r="E343" s="6"/>
      <c r="F343" s="6">
        <f t="shared" si="29"/>
        <v>0</v>
      </c>
      <c r="G343" s="149">
        <f>INDEX('Step 4 Stage Discharge'!E$26:F$126,MATCH(F343,'Step 4 Stage Discharge'!E$26:E$126,1),2)+(INDEX('Step 4 Stage Discharge'!E$26:F$126,MATCH(F343,'Step 4 Stage Discharge'!E$26:E$126,1)+1,2)-INDEX('Step 4 Stage Discharge'!E$26:F$126,MATCH(F343,'Step 4 Stage Discharge'!E$26:E$126,1),2))*(F343-INDEX('Step 4 Stage Discharge'!E$26:F$126,MATCH(F343,'Step 4 Stage Discharge'!E$26:E$126,1),1))/(INDEX('Step 4 Stage Discharge'!E$26:F$126,MATCH(F343,'Step 4 Stage Discharge'!E$26:E$126,1)+1,1)-INDEX('Step 4 Stage Discharge'!E$26:F$126,MATCH(F343,'Step 4 Stage Discharge'!E$26:E$126,1),1))</f>
        <v>0</v>
      </c>
      <c r="H343" s="149"/>
      <c r="I343" s="149">
        <f>INDEX('Step 4 Stage Discharge'!E$26:M$126,MATCH(F343,'Step 4 Stage Discharge'!E$26:E$126,1),9)+(INDEX('Step 4 Stage Discharge'!E$26:M$126,MATCH('Step 5 Routing'!F343,'Step 4 Stage Discharge'!E$26:E$126,1)+1,9)-INDEX('Step 4 Stage Discharge'!E$26:M$126,MATCH('Step 5 Routing'!F343,'Step 4 Stage Discharge'!E$26:E$126,1),9))*('Step 5 Routing'!F343-INDEX('Step 4 Stage Discharge'!E$26:M$126,MATCH('Step 5 Routing'!F343,'Step 4 Stage Discharge'!E$26:E$126,1),1))/(INDEX('Step 4 Stage Discharge'!E$26:M$126,MATCH('Step 5 Routing'!F343,'Step 4 Stage Discharge'!E$26:E$126,1)+1,1)-INDEX('Step 4 Stage Discharge'!E$26:M$126,MATCH('Step 5 Routing'!F343,'Step 4 Stage Discharge'!E$26:E$126,1),1))</f>
        <v>4.3639431710317386E-3</v>
      </c>
      <c r="J343" s="149"/>
      <c r="K343" s="6">
        <f t="shared" si="26"/>
        <v>0</v>
      </c>
      <c r="L343" s="6">
        <f t="shared" si="27"/>
        <v>0</v>
      </c>
    </row>
    <row r="344" spans="1:12">
      <c r="A344">
        <f t="shared" si="28"/>
        <v>331</v>
      </c>
      <c r="B344" s="136">
        <f>IF(C$5=Data!D$3,'Step 2 Inflow Hydrograph'!H388,IF(C$5=Data!D$4,'Step 2 Inflow Hydrograph'!I388,IF(C$5=Data!D$5,'Step 2 Inflow Hydrograph'!J388,'Step 2 Inflow Hydrograph'!K388)))</f>
        <v>0</v>
      </c>
      <c r="C344" s="127"/>
      <c r="D344" s="6">
        <f t="shared" si="25"/>
        <v>0</v>
      </c>
      <c r="E344" s="6"/>
      <c r="F344" s="6">
        <f t="shared" si="29"/>
        <v>0</v>
      </c>
      <c r="G344" s="149">
        <f>INDEX('Step 4 Stage Discharge'!E$26:F$126,MATCH(F344,'Step 4 Stage Discharge'!E$26:E$126,1),2)+(INDEX('Step 4 Stage Discharge'!E$26:F$126,MATCH(F344,'Step 4 Stage Discharge'!E$26:E$126,1)+1,2)-INDEX('Step 4 Stage Discharge'!E$26:F$126,MATCH(F344,'Step 4 Stage Discharge'!E$26:E$126,1),2))*(F344-INDEX('Step 4 Stage Discharge'!E$26:F$126,MATCH(F344,'Step 4 Stage Discharge'!E$26:E$126,1),1))/(INDEX('Step 4 Stage Discharge'!E$26:F$126,MATCH(F344,'Step 4 Stage Discharge'!E$26:E$126,1)+1,1)-INDEX('Step 4 Stage Discharge'!E$26:F$126,MATCH(F344,'Step 4 Stage Discharge'!E$26:E$126,1),1))</f>
        <v>0</v>
      </c>
      <c r="H344" s="149"/>
      <c r="I344" s="149">
        <f>INDEX('Step 4 Stage Discharge'!E$26:M$126,MATCH(F344,'Step 4 Stage Discharge'!E$26:E$126,1),9)+(INDEX('Step 4 Stage Discharge'!E$26:M$126,MATCH('Step 5 Routing'!F344,'Step 4 Stage Discharge'!E$26:E$126,1)+1,9)-INDEX('Step 4 Stage Discharge'!E$26:M$126,MATCH('Step 5 Routing'!F344,'Step 4 Stage Discharge'!E$26:E$126,1),9))*('Step 5 Routing'!F344-INDEX('Step 4 Stage Discharge'!E$26:M$126,MATCH('Step 5 Routing'!F344,'Step 4 Stage Discharge'!E$26:E$126,1),1))/(INDEX('Step 4 Stage Discharge'!E$26:M$126,MATCH('Step 5 Routing'!F344,'Step 4 Stage Discharge'!E$26:E$126,1)+1,1)-INDEX('Step 4 Stage Discharge'!E$26:M$126,MATCH('Step 5 Routing'!F344,'Step 4 Stage Discharge'!E$26:E$126,1),1))</f>
        <v>4.3639431710317386E-3</v>
      </c>
      <c r="J344" s="149"/>
      <c r="K344" s="6">
        <f t="shared" si="26"/>
        <v>0</v>
      </c>
      <c r="L344" s="6">
        <f t="shared" si="27"/>
        <v>0</v>
      </c>
    </row>
    <row r="345" spans="1:12">
      <c r="A345">
        <f t="shared" si="28"/>
        <v>332</v>
      </c>
      <c r="B345" s="136">
        <f>IF(C$5=Data!D$3,'Step 2 Inflow Hydrograph'!H389,IF(C$5=Data!D$4,'Step 2 Inflow Hydrograph'!I389,IF(C$5=Data!D$5,'Step 2 Inflow Hydrograph'!J389,'Step 2 Inflow Hydrograph'!K389)))</f>
        <v>0</v>
      </c>
      <c r="C345" s="127"/>
      <c r="D345" s="6">
        <f t="shared" si="25"/>
        <v>0</v>
      </c>
      <c r="E345" s="6"/>
      <c r="F345" s="6">
        <f t="shared" si="29"/>
        <v>0</v>
      </c>
      <c r="G345" s="149">
        <f>INDEX('Step 4 Stage Discharge'!E$26:F$126,MATCH(F345,'Step 4 Stage Discharge'!E$26:E$126,1),2)+(INDEX('Step 4 Stage Discharge'!E$26:F$126,MATCH(F345,'Step 4 Stage Discharge'!E$26:E$126,1)+1,2)-INDEX('Step 4 Stage Discharge'!E$26:F$126,MATCH(F345,'Step 4 Stage Discharge'!E$26:E$126,1),2))*(F345-INDEX('Step 4 Stage Discharge'!E$26:F$126,MATCH(F345,'Step 4 Stage Discharge'!E$26:E$126,1),1))/(INDEX('Step 4 Stage Discharge'!E$26:F$126,MATCH(F345,'Step 4 Stage Discharge'!E$26:E$126,1)+1,1)-INDEX('Step 4 Stage Discharge'!E$26:F$126,MATCH(F345,'Step 4 Stage Discharge'!E$26:E$126,1),1))</f>
        <v>0</v>
      </c>
      <c r="H345" s="149"/>
      <c r="I345" s="149">
        <f>INDEX('Step 4 Stage Discharge'!E$26:M$126,MATCH(F345,'Step 4 Stage Discharge'!E$26:E$126,1),9)+(INDEX('Step 4 Stage Discharge'!E$26:M$126,MATCH('Step 5 Routing'!F345,'Step 4 Stage Discharge'!E$26:E$126,1)+1,9)-INDEX('Step 4 Stage Discharge'!E$26:M$126,MATCH('Step 5 Routing'!F345,'Step 4 Stage Discharge'!E$26:E$126,1),9))*('Step 5 Routing'!F345-INDEX('Step 4 Stage Discharge'!E$26:M$126,MATCH('Step 5 Routing'!F345,'Step 4 Stage Discharge'!E$26:E$126,1),1))/(INDEX('Step 4 Stage Discharge'!E$26:M$126,MATCH('Step 5 Routing'!F345,'Step 4 Stage Discharge'!E$26:E$126,1)+1,1)-INDEX('Step 4 Stage Discharge'!E$26:M$126,MATCH('Step 5 Routing'!F345,'Step 4 Stage Discharge'!E$26:E$126,1),1))</f>
        <v>4.3639431710317386E-3</v>
      </c>
      <c r="J345" s="149"/>
      <c r="K345" s="6">
        <f t="shared" si="26"/>
        <v>0</v>
      </c>
      <c r="L345" s="6">
        <f t="shared" si="27"/>
        <v>0</v>
      </c>
    </row>
    <row r="346" spans="1:12">
      <c r="A346">
        <f t="shared" si="28"/>
        <v>333</v>
      </c>
      <c r="B346" s="136">
        <f>IF(C$5=Data!D$3,'Step 2 Inflow Hydrograph'!H390,IF(C$5=Data!D$4,'Step 2 Inflow Hydrograph'!I390,IF(C$5=Data!D$5,'Step 2 Inflow Hydrograph'!J390,'Step 2 Inflow Hydrograph'!K390)))</f>
        <v>0</v>
      </c>
      <c r="C346" s="127"/>
      <c r="D346" s="6">
        <f t="shared" si="25"/>
        <v>0</v>
      </c>
      <c r="E346" s="6"/>
      <c r="F346" s="6">
        <f t="shared" si="29"/>
        <v>0</v>
      </c>
      <c r="G346" s="149">
        <f>INDEX('Step 4 Stage Discharge'!E$26:F$126,MATCH(F346,'Step 4 Stage Discharge'!E$26:E$126,1),2)+(INDEX('Step 4 Stage Discharge'!E$26:F$126,MATCH(F346,'Step 4 Stage Discharge'!E$26:E$126,1)+1,2)-INDEX('Step 4 Stage Discharge'!E$26:F$126,MATCH(F346,'Step 4 Stage Discharge'!E$26:E$126,1),2))*(F346-INDEX('Step 4 Stage Discharge'!E$26:F$126,MATCH(F346,'Step 4 Stage Discharge'!E$26:E$126,1),1))/(INDEX('Step 4 Stage Discharge'!E$26:F$126,MATCH(F346,'Step 4 Stage Discharge'!E$26:E$126,1)+1,1)-INDEX('Step 4 Stage Discharge'!E$26:F$126,MATCH(F346,'Step 4 Stage Discharge'!E$26:E$126,1),1))</f>
        <v>0</v>
      </c>
      <c r="H346" s="149"/>
      <c r="I346" s="149">
        <f>INDEX('Step 4 Stage Discharge'!E$26:M$126,MATCH(F346,'Step 4 Stage Discharge'!E$26:E$126,1),9)+(INDEX('Step 4 Stage Discharge'!E$26:M$126,MATCH('Step 5 Routing'!F346,'Step 4 Stage Discharge'!E$26:E$126,1)+1,9)-INDEX('Step 4 Stage Discharge'!E$26:M$126,MATCH('Step 5 Routing'!F346,'Step 4 Stage Discharge'!E$26:E$126,1),9))*('Step 5 Routing'!F346-INDEX('Step 4 Stage Discharge'!E$26:M$126,MATCH('Step 5 Routing'!F346,'Step 4 Stage Discharge'!E$26:E$126,1),1))/(INDEX('Step 4 Stage Discharge'!E$26:M$126,MATCH('Step 5 Routing'!F346,'Step 4 Stage Discharge'!E$26:E$126,1)+1,1)-INDEX('Step 4 Stage Discharge'!E$26:M$126,MATCH('Step 5 Routing'!F346,'Step 4 Stage Discharge'!E$26:E$126,1),1))</f>
        <v>4.3639431710317386E-3</v>
      </c>
      <c r="J346" s="149"/>
      <c r="K346" s="6">
        <f t="shared" si="26"/>
        <v>0</v>
      </c>
      <c r="L346" s="6">
        <f t="shared" si="27"/>
        <v>0</v>
      </c>
    </row>
    <row r="347" spans="1:12">
      <c r="A347">
        <f t="shared" si="28"/>
        <v>334</v>
      </c>
      <c r="B347" s="136">
        <f>IF(C$5=Data!D$3,'Step 2 Inflow Hydrograph'!H391,IF(C$5=Data!D$4,'Step 2 Inflow Hydrograph'!I391,IF(C$5=Data!D$5,'Step 2 Inflow Hydrograph'!J391,'Step 2 Inflow Hydrograph'!K391)))</f>
        <v>0</v>
      </c>
      <c r="C347" s="127"/>
      <c r="D347" s="6">
        <f t="shared" si="25"/>
        <v>0</v>
      </c>
      <c r="E347" s="6"/>
      <c r="F347" s="6">
        <f t="shared" si="29"/>
        <v>0</v>
      </c>
      <c r="G347" s="149">
        <f>INDEX('Step 4 Stage Discharge'!E$26:F$126,MATCH(F347,'Step 4 Stage Discharge'!E$26:E$126,1),2)+(INDEX('Step 4 Stage Discharge'!E$26:F$126,MATCH(F347,'Step 4 Stage Discharge'!E$26:E$126,1)+1,2)-INDEX('Step 4 Stage Discharge'!E$26:F$126,MATCH(F347,'Step 4 Stage Discharge'!E$26:E$126,1),2))*(F347-INDEX('Step 4 Stage Discharge'!E$26:F$126,MATCH(F347,'Step 4 Stage Discharge'!E$26:E$126,1),1))/(INDEX('Step 4 Stage Discharge'!E$26:F$126,MATCH(F347,'Step 4 Stage Discharge'!E$26:E$126,1)+1,1)-INDEX('Step 4 Stage Discharge'!E$26:F$126,MATCH(F347,'Step 4 Stage Discharge'!E$26:E$126,1),1))</f>
        <v>0</v>
      </c>
      <c r="H347" s="149"/>
      <c r="I347" s="149">
        <f>INDEX('Step 4 Stage Discharge'!E$26:M$126,MATCH(F347,'Step 4 Stage Discharge'!E$26:E$126,1),9)+(INDEX('Step 4 Stage Discharge'!E$26:M$126,MATCH('Step 5 Routing'!F347,'Step 4 Stage Discharge'!E$26:E$126,1)+1,9)-INDEX('Step 4 Stage Discharge'!E$26:M$126,MATCH('Step 5 Routing'!F347,'Step 4 Stage Discharge'!E$26:E$126,1),9))*('Step 5 Routing'!F347-INDEX('Step 4 Stage Discharge'!E$26:M$126,MATCH('Step 5 Routing'!F347,'Step 4 Stage Discharge'!E$26:E$126,1),1))/(INDEX('Step 4 Stage Discharge'!E$26:M$126,MATCH('Step 5 Routing'!F347,'Step 4 Stage Discharge'!E$26:E$126,1)+1,1)-INDEX('Step 4 Stage Discharge'!E$26:M$126,MATCH('Step 5 Routing'!F347,'Step 4 Stage Discharge'!E$26:E$126,1),1))</f>
        <v>4.3639431710317386E-3</v>
      </c>
      <c r="J347" s="149"/>
      <c r="K347" s="6">
        <f t="shared" si="26"/>
        <v>0</v>
      </c>
      <c r="L347" s="6">
        <f t="shared" si="27"/>
        <v>0</v>
      </c>
    </row>
    <row r="348" spans="1:12">
      <c r="A348">
        <f t="shared" si="28"/>
        <v>335</v>
      </c>
      <c r="B348" s="136">
        <f>IF(C$5=Data!D$3,'Step 2 Inflow Hydrograph'!H392,IF(C$5=Data!D$4,'Step 2 Inflow Hydrograph'!I392,IF(C$5=Data!D$5,'Step 2 Inflow Hydrograph'!J392,'Step 2 Inflow Hydrograph'!K392)))</f>
        <v>0</v>
      </c>
      <c r="C348" s="127"/>
      <c r="D348" s="6">
        <f t="shared" si="25"/>
        <v>0</v>
      </c>
      <c r="E348" s="6"/>
      <c r="F348" s="6">
        <f t="shared" si="29"/>
        <v>0</v>
      </c>
      <c r="G348" s="149">
        <f>INDEX('Step 4 Stage Discharge'!E$26:F$126,MATCH(F348,'Step 4 Stage Discharge'!E$26:E$126,1),2)+(INDEX('Step 4 Stage Discharge'!E$26:F$126,MATCH(F348,'Step 4 Stage Discharge'!E$26:E$126,1)+1,2)-INDEX('Step 4 Stage Discharge'!E$26:F$126,MATCH(F348,'Step 4 Stage Discharge'!E$26:E$126,1),2))*(F348-INDEX('Step 4 Stage Discharge'!E$26:F$126,MATCH(F348,'Step 4 Stage Discharge'!E$26:E$126,1),1))/(INDEX('Step 4 Stage Discharge'!E$26:F$126,MATCH(F348,'Step 4 Stage Discharge'!E$26:E$126,1)+1,1)-INDEX('Step 4 Stage Discharge'!E$26:F$126,MATCH(F348,'Step 4 Stage Discharge'!E$26:E$126,1),1))</f>
        <v>0</v>
      </c>
      <c r="H348" s="149"/>
      <c r="I348" s="149">
        <f>INDEX('Step 4 Stage Discharge'!E$26:M$126,MATCH(F348,'Step 4 Stage Discharge'!E$26:E$126,1),9)+(INDEX('Step 4 Stage Discharge'!E$26:M$126,MATCH('Step 5 Routing'!F348,'Step 4 Stage Discharge'!E$26:E$126,1)+1,9)-INDEX('Step 4 Stage Discharge'!E$26:M$126,MATCH('Step 5 Routing'!F348,'Step 4 Stage Discharge'!E$26:E$126,1),9))*('Step 5 Routing'!F348-INDEX('Step 4 Stage Discharge'!E$26:M$126,MATCH('Step 5 Routing'!F348,'Step 4 Stage Discharge'!E$26:E$126,1),1))/(INDEX('Step 4 Stage Discharge'!E$26:M$126,MATCH('Step 5 Routing'!F348,'Step 4 Stage Discharge'!E$26:E$126,1)+1,1)-INDEX('Step 4 Stage Discharge'!E$26:M$126,MATCH('Step 5 Routing'!F348,'Step 4 Stage Discharge'!E$26:E$126,1),1))</f>
        <v>4.3639431710317386E-3</v>
      </c>
      <c r="J348" s="149"/>
      <c r="K348" s="6">
        <f t="shared" si="26"/>
        <v>0</v>
      </c>
      <c r="L348" s="6">
        <f t="shared" si="27"/>
        <v>0</v>
      </c>
    </row>
    <row r="349" spans="1:12">
      <c r="A349">
        <f t="shared" si="28"/>
        <v>336</v>
      </c>
      <c r="B349" s="136">
        <f>IF(C$5=Data!D$3,'Step 2 Inflow Hydrograph'!H393,IF(C$5=Data!D$4,'Step 2 Inflow Hydrograph'!I393,IF(C$5=Data!D$5,'Step 2 Inflow Hydrograph'!J393,'Step 2 Inflow Hydrograph'!K393)))</f>
        <v>0</v>
      </c>
      <c r="C349" s="127"/>
      <c r="D349" s="6">
        <f t="shared" si="25"/>
        <v>0</v>
      </c>
      <c r="E349" s="6"/>
      <c r="F349" s="6">
        <f t="shared" si="29"/>
        <v>0</v>
      </c>
      <c r="G349" s="149">
        <f>INDEX('Step 4 Stage Discharge'!E$26:F$126,MATCH(F349,'Step 4 Stage Discharge'!E$26:E$126,1),2)+(INDEX('Step 4 Stage Discharge'!E$26:F$126,MATCH(F349,'Step 4 Stage Discharge'!E$26:E$126,1)+1,2)-INDEX('Step 4 Stage Discharge'!E$26:F$126,MATCH(F349,'Step 4 Stage Discharge'!E$26:E$126,1),2))*(F349-INDEX('Step 4 Stage Discharge'!E$26:F$126,MATCH(F349,'Step 4 Stage Discharge'!E$26:E$126,1),1))/(INDEX('Step 4 Stage Discharge'!E$26:F$126,MATCH(F349,'Step 4 Stage Discharge'!E$26:E$126,1)+1,1)-INDEX('Step 4 Stage Discharge'!E$26:F$126,MATCH(F349,'Step 4 Stage Discharge'!E$26:E$126,1),1))</f>
        <v>0</v>
      </c>
      <c r="H349" s="149"/>
      <c r="I349" s="149">
        <f>INDEX('Step 4 Stage Discharge'!E$26:M$126,MATCH(F349,'Step 4 Stage Discharge'!E$26:E$126,1),9)+(INDEX('Step 4 Stage Discharge'!E$26:M$126,MATCH('Step 5 Routing'!F349,'Step 4 Stage Discharge'!E$26:E$126,1)+1,9)-INDEX('Step 4 Stage Discharge'!E$26:M$126,MATCH('Step 5 Routing'!F349,'Step 4 Stage Discharge'!E$26:E$126,1),9))*('Step 5 Routing'!F349-INDEX('Step 4 Stage Discharge'!E$26:M$126,MATCH('Step 5 Routing'!F349,'Step 4 Stage Discharge'!E$26:E$126,1),1))/(INDEX('Step 4 Stage Discharge'!E$26:M$126,MATCH('Step 5 Routing'!F349,'Step 4 Stage Discharge'!E$26:E$126,1)+1,1)-INDEX('Step 4 Stage Discharge'!E$26:M$126,MATCH('Step 5 Routing'!F349,'Step 4 Stage Discharge'!E$26:E$126,1),1))</f>
        <v>4.3639431710317386E-3</v>
      </c>
      <c r="J349" s="149"/>
      <c r="K349" s="6">
        <f t="shared" si="26"/>
        <v>0</v>
      </c>
      <c r="L349" s="6">
        <f t="shared" si="27"/>
        <v>0</v>
      </c>
    </row>
    <row r="350" spans="1:12">
      <c r="A350">
        <f t="shared" si="28"/>
        <v>337</v>
      </c>
      <c r="B350" s="136">
        <f>IF(C$5=Data!D$3,'Step 2 Inflow Hydrograph'!H394,IF(C$5=Data!D$4,'Step 2 Inflow Hydrograph'!I394,IF(C$5=Data!D$5,'Step 2 Inflow Hydrograph'!J394,'Step 2 Inflow Hydrograph'!K394)))</f>
        <v>0</v>
      </c>
      <c r="C350" s="127"/>
      <c r="D350" s="6">
        <f t="shared" si="25"/>
        <v>0</v>
      </c>
      <c r="E350" s="6"/>
      <c r="F350" s="6">
        <f t="shared" si="29"/>
        <v>0</v>
      </c>
      <c r="G350" s="149">
        <f>INDEX('Step 4 Stage Discharge'!E$26:F$126,MATCH(F350,'Step 4 Stage Discharge'!E$26:E$126,1),2)+(INDEX('Step 4 Stage Discharge'!E$26:F$126,MATCH(F350,'Step 4 Stage Discharge'!E$26:E$126,1)+1,2)-INDEX('Step 4 Stage Discharge'!E$26:F$126,MATCH(F350,'Step 4 Stage Discharge'!E$26:E$126,1),2))*(F350-INDEX('Step 4 Stage Discharge'!E$26:F$126,MATCH(F350,'Step 4 Stage Discharge'!E$26:E$126,1),1))/(INDEX('Step 4 Stage Discharge'!E$26:F$126,MATCH(F350,'Step 4 Stage Discharge'!E$26:E$126,1)+1,1)-INDEX('Step 4 Stage Discharge'!E$26:F$126,MATCH(F350,'Step 4 Stage Discharge'!E$26:E$126,1),1))</f>
        <v>0</v>
      </c>
      <c r="H350" s="149"/>
      <c r="I350" s="149">
        <f>INDEX('Step 4 Stage Discharge'!E$26:M$126,MATCH(F350,'Step 4 Stage Discharge'!E$26:E$126,1),9)+(INDEX('Step 4 Stage Discharge'!E$26:M$126,MATCH('Step 5 Routing'!F350,'Step 4 Stage Discharge'!E$26:E$126,1)+1,9)-INDEX('Step 4 Stage Discharge'!E$26:M$126,MATCH('Step 5 Routing'!F350,'Step 4 Stage Discharge'!E$26:E$126,1),9))*('Step 5 Routing'!F350-INDEX('Step 4 Stage Discharge'!E$26:M$126,MATCH('Step 5 Routing'!F350,'Step 4 Stage Discharge'!E$26:E$126,1),1))/(INDEX('Step 4 Stage Discharge'!E$26:M$126,MATCH('Step 5 Routing'!F350,'Step 4 Stage Discharge'!E$26:E$126,1)+1,1)-INDEX('Step 4 Stage Discharge'!E$26:M$126,MATCH('Step 5 Routing'!F350,'Step 4 Stage Discharge'!E$26:E$126,1),1))</f>
        <v>4.3639431710317386E-3</v>
      </c>
      <c r="J350" s="149"/>
      <c r="K350" s="6">
        <f t="shared" si="26"/>
        <v>0</v>
      </c>
      <c r="L350" s="6">
        <f t="shared" si="27"/>
        <v>0</v>
      </c>
    </row>
    <row r="351" spans="1:12">
      <c r="A351">
        <f t="shared" si="28"/>
        <v>338</v>
      </c>
      <c r="B351" s="136">
        <f>IF(C$5=Data!D$3,'Step 2 Inflow Hydrograph'!H395,IF(C$5=Data!D$4,'Step 2 Inflow Hydrograph'!I395,IF(C$5=Data!D$5,'Step 2 Inflow Hydrograph'!J395,'Step 2 Inflow Hydrograph'!K395)))</f>
        <v>0</v>
      </c>
      <c r="C351" s="127"/>
      <c r="D351" s="6">
        <f t="shared" si="25"/>
        <v>0</v>
      </c>
      <c r="E351" s="6"/>
      <c r="F351" s="6">
        <f t="shared" si="29"/>
        <v>0</v>
      </c>
      <c r="G351" s="149">
        <f>INDEX('Step 4 Stage Discharge'!E$26:F$126,MATCH(F351,'Step 4 Stage Discharge'!E$26:E$126,1),2)+(INDEX('Step 4 Stage Discharge'!E$26:F$126,MATCH(F351,'Step 4 Stage Discharge'!E$26:E$126,1)+1,2)-INDEX('Step 4 Stage Discharge'!E$26:F$126,MATCH(F351,'Step 4 Stage Discharge'!E$26:E$126,1),2))*(F351-INDEX('Step 4 Stage Discharge'!E$26:F$126,MATCH(F351,'Step 4 Stage Discharge'!E$26:E$126,1),1))/(INDEX('Step 4 Stage Discharge'!E$26:F$126,MATCH(F351,'Step 4 Stage Discharge'!E$26:E$126,1)+1,1)-INDEX('Step 4 Stage Discharge'!E$26:F$126,MATCH(F351,'Step 4 Stage Discharge'!E$26:E$126,1),1))</f>
        <v>0</v>
      </c>
      <c r="H351" s="149"/>
      <c r="I351" s="149">
        <f>INDEX('Step 4 Stage Discharge'!E$26:M$126,MATCH(F351,'Step 4 Stage Discharge'!E$26:E$126,1),9)+(INDEX('Step 4 Stage Discharge'!E$26:M$126,MATCH('Step 5 Routing'!F351,'Step 4 Stage Discharge'!E$26:E$126,1)+1,9)-INDEX('Step 4 Stage Discharge'!E$26:M$126,MATCH('Step 5 Routing'!F351,'Step 4 Stage Discharge'!E$26:E$126,1),9))*('Step 5 Routing'!F351-INDEX('Step 4 Stage Discharge'!E$26:M$126,MATCH('Step 5 Routing'!F351,'Step 4 Stage Discharge'!E$26:E$126,1),1))/(INDEX('Step 4 Stage Discharge'!E$26:M$126,MATCH('Step 5 Routing'!F351,'Step 4 Stage Discharge'!E$26:E$126,1)+1,1)-INDEX('Step 4 Stage Discharge'!E$26:M$126,MATCH('Step 5 Routing'!F351,'Step 4 Stage Discharge'!E$26:E$126,1),1))</f>
        <v>4.3639431710317386E-3</v>
      </c>
      <c r="J351" s="149"/>
      <c r="K351" s="6">
        <f t="shared" si="26"/>
        <v>0</v>
      </c>
      <c r="L351" s="6">
        <f t="shared" si="27"/>
        <v>0</v>
      </c>
    </row>
    <row r="352" spans="1:12">
      <c r="A352">
        <f t="shared" si="28"/>
        <v>339</v>
      </c>
      <c r="B352" s="136">
        <f>IF(C$5=Data!D$3,'Step 2 Inflow Hydrograph'!H396,IF(C$5=Data!D$4,'Step 2 Inflow Hydrograph'!I396,IF(C$5=Data!D$5,'Step 2 Inflow Hydrograph'!J396,'Step 2 Inflow Hydrograph'!K396)))</f>
        <v>0</v>
      </c>
      <c r="C352" s="127"/>
      <c r="D352" s="6">
        <f t="shared" si="25"/>
        <v>0</v>
      </c>
      <c r="E352" s="6"/>
      <c r="F352" s="6">
        <f t="shared" si="29"/>
        <v>0</v>
      </c>
      <c r="G352" s="149">
        <f>INDEX('Step 4 Stage Discharge'!E$26:F$126,MATCH(F352,'Step 4 Stage Discharge'!E$26:E$126,1),2)+(INDEX('Step 4 Stage Discharge'!E$26:F$126,MATCH(F352,'Step 4 Stage Discharge'!E$26:E$126,1)+1,2)-INDEX('Step 4 Stage Discharge'!E$26:F$126,MATCH(F352,'Step 4 Stage Discharge'!E$26:E$126,1),2))*(F352-INDEX('Step 4 Stage Discharge'!E$26:F$126,MATCH(F352,'Step 4 Stage Discharge'!E$26:E$126,1),1))/(INDEX('Step 4 Stage Discharge'!E$26:F$126,MATCH(F352,'Step 4 Stage Discharge'!E$26:E$126,1)+1,1)-INDEX('Step 4 Stage Discharge'!E$26:F$126,MATCH(F352,'Step 4 Stage Discharge'!E$26:E$126,1),1))</f>
        <v>0</v>
      </c>
      <c r="H352" s="149"/>
      <c r="I352" s="149">
        <f>INDEX('Step 4 Stage Discharge'!E$26:M$126,MATCH(F352,'Step 4 Stage Discharge'!E$26:E$126,1),9)+(INDEX('Step 4 Stage Discharge'!E$26:M$126,MATCH('Step 5 Routing'!F352,'Step 4 Stage Discharge'!E$26:E$126,1)+1,9)-INDEX('Step 4 Stage Discharge'!E$26:M$126,MATCH('Step 5 Routing'!F352,'Step 4 Stage Discharge'!E$26:E$126,1),9))*('Step 5 Routing'!F352-INDEX('Step 4 Stage Discharge'!E$26:M$126,MATCH('Step 5 Routing'!F352,'Step 4 Stage Discharge'!E$26:E$126,1),1))/(INDEX('Step 4 Stage Discharge'!E$26:M$126,MATCH('Step 5 Routing'!F352,'Step 4 Stage Discharge'!E$26:E$126,1)+1,1)-INDEX('Step 4 Stage Discharge'!E$26:M$126,MATCH('Step 5 Routing'!F352,'Step 4 Stage Discharge'!E$26:E$126,1),1))</f>
        <v>4.3639431710317386E-3</v>
      </c>
      <c r="J352" s="149"/>
      <c r="K352" s="6">
        <f t="shared" si="26"/>
        <v>0</v>
      </c>
      <c r="L352" s="6">
        <f t="shared" si="27"/>
        <v>0</v>
      </c>
    </row>
    <row r="353" spans="1:12">
      <c r="A353">
        <f t="shared" si="28"/>
        <v>340</v>
      </c>
      <c r="B353" s="136">
        <f>IF(C$5=Data!D$3,'Step 2 Inflow Hydrograph'!H397,IF(C$5=Data!D$4,'Step 2 Inflow Hydrograph'!I397,IF(C$5=Data!D$5,'Step 2 Inflow Hydrograph'!J397,'Step 2 Inflow Hydrograph'!K397)))</f>
        <v>0</v>
      </c>
      <c r="C353" s="127"/>
      <c r="D353" s="6">
        <f t="shared" si="25"/>
        <v>0</v>
      </c>
      <c r="E353" s="6"/>
      <c r="F353" s="6">
        <f t="shared" si="29"/>
        <v>0</v>
      </c>
      <c r="G353" s="149">
        <f>INDEX('Step 4 Stage Discharge'!E$26:F$126,MATCH(F353,'Step 4 Stage Discharge'!E$26:E$126,1),2)+(INDEX('Step 4 Stage Discharge'!E$26:F$126,MATCH(F353,'Step 4 Stage Discharge'!E$26:E$126,1)+1,2)-INDEX('Step 4 Stage Discharge'!E$26:F$126,MATCH(F353,'Step 4 Stage Discharge'!E$26:E$126,1),2))*(F353-INDEX('Step 4 Stage Discharge'!E$26:F$126,MATCH(F353,'Step 4 Stage Discharge'!E$26:E$126,1),1))/(INDEX('Step 4 Stage Discharge'!E$26:F$126,MATCH(F353,'Step 4 Stage Discharge'!E$26:E$126,1)+1,1)-INDEX('Step 4 Stage Discharge'!E$26:F$126,MATCH(F353,'Step 4 Stage Discharge'!E$26:E$126,1),1))</f>
        <v>0</v>
      </c>
      <c r="H353" s="149"/>
      <c r="I353" s="149">
        <f>INDEX('Step 4 Stage Discharge'!E$26:M$126,MATCH(F353,'Step 4 Stage Discharge'!E$26:E$126,1),9)+(INDEX('Step 4 Stage Discharge'!E$26:M$126,MATCH('Step 5 Routing'!F353,'Step 4 Stage Discharge'!E$26:E$126,1)+1,9)-INDEX('Step 4 Stage Discharge'!E$26:M$126,MATCH('Step 5 Routing'!F353,'Step 4 Stage Discharge'!E$26:E$126,1),9))*('Step 5 Routing'!F353-INDEX('Step 4 Stage Discharge'!E$26:M$126,MATCH('Step 5 Routing'!F353,'Step 4 Stage Discharge'!E$26:E$126,1),1))/(INDEX('Step 4 Stage Discharge'!E$26:M$126,MATCH('Step 5 Routing'!F353,'Step 4 Stage Discharge'!E$26:E$126,1)+1,1)-INDEX('Step 4 Stage Discharge'!E$26:M$126,MATCH('Step 5 Routing'!F353,'Step 4 Stage Discharge'!E$26:E$126,1),1))</f>
        <v>4.3639431710317386E-3</v>
      </c>
      <c r="J353" s="149"/>
      <c r="K353" s="6">
        <f t="shared" si="26"/>
        <v>0</v>
      </c>
      <c r="L353" s="6">
        <f t="shared" si="27"/>
        <v>0</v>
      </c>
    </row>
    <row r="354" spans="1:12">
      <c r="A354">
        <f t="shared" si="28"/>
        <v>341</v>
      </c>
      <c r="B354" s="136">
        <f>IF(C$5=Data!D$3,'Step 2 Inflow Hydrograph'!H398,IF(C$5=Data!D$4,'Step 2 Inflow Hydrograph'!I398,IF(C$5=Data!D$5,'Step 2 Inflow Hydrograph'!J398,'Step 2 Inflow Hydrograph'!K398)))</f>
        <v>0</v>
      </c>
      <c r="C354" s="127"/>
      <c r="D354" s="6">
        <f t="shared" si="25"/>
        <v>0</v>
      </c>
      <c r="E354" s="6"/>
      <c r="F354" s="6">
        <f t="shared" si="29"/>
        <v>0</v>
      </c>
      <c r="G354" s="149">
        <f>INDEX('Step 4 Stage Discharge'!E$26:F$126,MATCH(F354,'Step 4 Stage Discharge'!E$26:E$126,1),2)+(INDEX('Step 4 Stage Discharge'!E$26:F$126,MATCH(F354,'Step 4 Stage Discharge'!E$26:E$126,1)+1,2)-INDEX('Step 4 Stage Discharge'!E$26:F$126,MATCH(F354,'Step 4 Stage Discharge'!E$26:E$126,1),2))*(F354-INDEX('Step 4 Stage Discharge'!E$26:F$126,MATCH(F354,'Step 4 Stage Discharge'!E$26:E$126,1),1))/(INDEX('Step 4 Stage Discharge'!E$26:F$126,MATCH(F354,'Step 4 Stage Discharge'!E$26:E$126,1)+1,1)-INDEX('Step 4 Stage Discharge'!E$26:F$126,MATCH(F354,'Step 4 Stage Discharge'!E$26:E$126,1),1))</f>
        <v>0</v>
      </c>
      <c r="H354" s="149"/>
      <c r="I354" s="149">
        <f>INDEX('Step 4 Stage Discharge'!E$26:M$126,MATCH(F354,'Step 4 Stage Discharge'!E$26:E$126,1),9)+(INDEX('Step 4 Stage Discharge'!E$26:M$126,MATCH('Step 5 Routing'!F354,'Step 4 Stage Discharge'!E$26:E$126,1)+1,9)-INDEX('Step 4 Stage Discharge'!E$26:M$126,MATCH('Step 5 Routing'!F354,'Step 4 Stage Discharge'!E$26:E$126,1),9))*('Step 5 Routing'!F354-INDEX('Step 4 Stage Discharge'!E$26:M$126,MATCH('Step 5 Routing'!F354,'Step 4 Stage Discharge'!E$26:E$126,1),1))/(INDEX('Step 4 Stage Discharge'!E$26:M$126,MATCH('Step 5 Routing'!F354,'Step 4 Stage Discharge'!E$26:E$126,1)+1,1)-INDEX('Step 4 Stage Discharge'!E$26:M$126,MATCH('Step 5 Routing'!F354,'Step 4 Stage Discharge'!E$26:E$126,1),1))</f>
        <v>4.3639431710317386E-3</v>
      </c>
      <c r="J354" s="149"/>
      <c r="K354" s="6">
        <f t="shared" si="26"/>
        <v>0</v>
      </c>
      <c r="L354" s="6">
        <f t="shared" si="27"/>
        <v>0</v>
      </c>
    </row>
    <row r="355" spans="1:12">
      <c r="A355">
        <f t="shared" si="28"/>
        <v>342</v>
      </c>
      <c r="B355" s="136">
        <f>IF(C$5=Data!D$3,'Step 2 Inflow Hydrograph'!H399,IF(C$5=Data!D$4,'Step 2 Inflow Hydrograph'!I399,IF(C$5=Data!D$5,'Step 2 Inflow Hydrograph'!J399,'Step 2 Inflow Hydrograph'!K399)))</f>
        <v>0</v>
      </c>
      <c r="C355" s="127"/>
      <c r="D355" s="6">
        <f t="shared" si="25"/>
        <v>0</v>
      </c>
      <c r="E355" s="6"/>
      <c r="F355" s="6">
        <f t="shared" si="29"/>
        <v>0</v>
      </c>
      <c r="G355" s="149">
        <f>INDEX('Step 4 Stage Discharge'!E$26:F$126,MATCH(F355,'Step 4 Stage Discharge'!E$26:E$126,1),2)+(INDEX('Step 4 Stage Discharge'!E$26:F$126,MATCH(F355,'Step 4 Stage Discharge'!E$26:E$126,1)+1,2)-INDEX('Step 4 Stage Discharge'!E$26:F$126,MATCH(F355,'Step 4 Stage Discharge'!E$26:E$126,1),2))*(F355-INDEX('Step 4 Stage Discharge'!E$26:F$126,MATCH(F355,'Step 4 Stage Discharge'!E$26:E$126,1),1))/(INDEX('Step 4 Stage Discharge'!E$26:F$126,MATCH(F355,'Step 4 Stage Discharge'!E$26:E$126,1)+1,1)-INDEX('Step 4 Stage Discharge'!E$26:F$126,MATCH(F355,'Step 4 Stage Discharge'!E$26:E$126,1),1))</f>
        <v>0</v>
      </c>
      <c r="H355" s="149"/>
      <c r="I355" s="149">
        <f>INDEX('Step 4 Stage Discharge'!E$26:M$126,MATCH(F355,'Step 4 Stage Discharge'!E$26:E$126,1),9)+(INDEX('Step 4 Stage Discharge'!E$26:M$126,MATCH('Step 5 Routing'!F355,'Step 4 Stage Discharge'!E$26:E$126,1)+1,9)-INDEX('Step 4 Stage Discharge'!E$26:M$126,MATCH('Step 5 Routing'!F355,'Step 4 Stage Discharge'!E$26:E$126,1),9))*('Step 5 Routing'!F355-INDEX('Step 4 Stage Discharge'!E$26:M$126,MATCH('Step 5 Routing'!F355,'Step 4 Stage Discharge'!E$26:E$126,1),1))/(INDEX('Step 4 Stage Discharge'!E$26:M$126,MATCH('Step 5 Routing'!F355,'Step 4 Stage Discharge'!E$26:E$126,1)+1,1)-INDEX('Step 4 Stage Discharge'!E$26:M$126,MATCH('Step 5 Routing'!F355,'Step 4 Stage Discharge'!E$26:E$126,1),1))</f>
        <v>4.3639431710317386E-3</v>
      </c>
      <c r="J355" s="149"/>
      <c r="K355" s="6">
        <f t="shared" si="26"/>
        <v>0</v>
      </c>
      <c r="L355" s="6">
        <f t="shared" si="27"/>
        <v>0</v>
      </c>
    </row>
    <row r="356" spans="1:12">
      <c r="A356">
        <f t="shared" si="28"/>
        <v>343</v>
      </c>
      <c r="B356" s="136">
        <f>IF(C$5=Data!D$3,'Step 2 Inflow Hydrograph'!H400,IF(C$5=Data!D$4,'Step 2 Inflow Hydrograph'!I400,IF(C$5=Data!D$5,'Step 2 Inflow Hydrograph'!J400,'Step 2 Inflow Hydrograph'!K400)))</f>
        <v>0</v>
      </c>
      <c r="C356" s="127"/>
      <c r="D356" s="6">
        <f t="shared" si="25"/>
        <v>0</v>
      </c>
      <c r="E356" s="6"/>
      <c r="F356" s="6">
        <f t="shared" si="29"/>
        <v>0</v>
      </c>
      <c r="G356" s="149">
        <f>INDEX('Step 4 Stage Discharge'!E$26:F$126,MATCH(F356,'Step 4 Stage Discharge'!E$26:E$126,1),2)+(INDEX('Step 4 Stage Discharge'!E$26:F$126,MATCH(F356,'Step 4 Stage Discharge'!E$26:E$126,1)+1,2)-INDEX('Step 4 Stage Discharge'!E$26:F$126,MATCH(F356,'Step 4 Stage Discharge'!E$26:E$126,1),2))*(F356-INDEX('Step 4 Stage Discharge'!E$26:F$126,MATCH(F356,'Step 4 Stage Discharge'!E$26:E$126,1),1))/(INDEX('Step 4 Stage Discharge'!E$26:F$126,MATCH(F356,'Step 4 Stage Discharge'!E$26:E$126,1)+1,1)-INDEX('Step 4 Stage Discharge'!E$26:F$126,MATCH(F356,'Step 4 Stage Discharge'!E$26:E$126,1),1))</f>
        <v>0</v>
      </c>
      <c r="H356" s="149"/>
      <c r="I356" s="149">
        <f>INDEX('Step 4 Stage Discharge'!E$26:M$126,MATCH(F356,'Step 4 Stage Discharge'!E$26:E$126,1),9)+(INDEX('Step 4 Stage Discharge'!E$26:M$126,MATCH('Step 5 Routing'!F356,'Step 4 Stage Discharge'!E$26:E$126,1)+1,9)-INDEX('Step 4 Stage Discharge'!E$26:M$126,MATCH('Step 5 Routing'!F356,'Step 4 Stage Discharge'!E$26:E$126,1),9))*('Step 5 Routing'!F356-INDEX('Step 4 Stage Discharge'!E$26:M$126,MATCH('Step 5 Routing'!F356,'Step 4 Stage Discharge'!E$26:E$126,1),1))/(INDEX('Step 4 Stage Discharge'!E$26:M$126,MATCH('Step 5 Routing'!F356,'Step 4 Stage Discharge'!E$26:E$126,1)+1,1)-INDEX('Step 4 Stage Discharge'!E$26:M$126,MATCH('Step 5 Routing'!F356,'Step 4 Stage Discharge'!E$26:E$126,1),1))</f>
        <v>4.3639431710317386E-3</v>
      </c>
      <c r="J356" s="149"/>
      <c r="K356" s="6">
        <f t="shared" si="26"/>
        <v>0</v>
      </c>
      <c r="L356" s="6">
        <f t="shared" si="27"/>
        <v>0</v>
      </c>
    </row>
    <row r="357" spans="1:12">
      <c r="A357">
        <f t="shared" si="28"/>
        <v>344</v>
      </c>
      <c r="B357" s="136">
        <f>IF(C$5=Data!D$3,'Step 2 Inflow Hydrograph'!H401,IF(C$5=Data!D$4,'Step 2 Inflow Hydrograph'!I401,IF(C$5=Data!D$5,'Step 2 Inflow Hydrograph'!J401,'Step 2 Inflow Hydrograph'!K401)))</f>
        <v>0</v>
      </c>
      <c r="C357" s="127"/>
      <c r="D357" s="6">
        <f t="shared" si="25"/>
        <v>0</v>
      </c>
      <c r="E357" s="6"/>
      <c r="F357" s="6">
        <f t="shared" si="29"/>
        <v>0</v>
      </c>
      <c r="G357" s="149">
        <f>INDEX('Step 4 Stage Discharge'!E$26:F$126,MATCH(F357,'Step 4 Stage Discharge'!E$26:E$126,1),2)+(INDEX('Step 4 Stage Discharge'!E$26:F$126,MATCH(F357,'Step 4 Stage Discharge'!E$26:E$126,1)+1,2)-INDEX('Step 4 Stage Discharge'!E$26:F$126,MATCH(F357,'Step 4 Stage Discharge'!E$26:E$126,1),2))*(F357-INDEX('Step 4 Stage Discharge'!E$26:F$126,MATCH(F357,'Step 4 Stage Discharge'!E$26:E$126,1),1))/(INDEX('Step 4 Stage Discharge'!E$26:F$126,MATCH(F357,'Step 4 Stage Discharge'!E$26:E$126,1)+1,1)-INDEX('Step 4 Stage Discharge'!E$26:F$126,MATCH(F357,'Step 4 Stage Discharge'!E$26:E$126,1),1))</f>
        <v>0</v>
      </c>
      <c r="H357" s="149"/>
      <c r="I357" s="149">
        <f>INDEX('Step 4 Stage Discharge'!E$26:M$126,MATCH(F357,'Step 4 Stage Discharge'!E$26:E$126,1),9)+(INDEX('Step 4 Stage Discharge'!E$26:M$126,MATCH('Step 5 Routing'!F357,'Step 4 Stage Discharge'!E$26:E$126,1)+1,9)-INDEX('Step 4 Stage Discharge'!E$26:M$126,MATCH('Step 5 Routing'!F357,'Step 4 Stage Discharge'!E$26:E$126,1),9))*('Step 5 Routing'!F357-INDEX('Step 4 Stage Discharge'!E$26:M$126,MATCH('Step 5 Routing'!F357,'Step 4 Stage Discharge'!E$26:E$126,1),1))/(INDEX('Step 4 Stage Discharge'!E$26:M$126,MATCH('Step 5 Routing'!F357,'Step 4 Stage Discharge'!E$26:E$126,1)+1,1)-INDEX('Step 4 Stage Discharge'!E$26:M$126,MATCH('Step 5 Routing'!F357,'Step 4 Stage Discharge'!E$26:E$126,1),1))</f>
        <v>4.3639431710317386E-3</v>
      </c>
      <c r="J357" s="149"/>
      <c r="K357" s="6">
        <f t="shared" si="26"/>
        <v>0</v>
      </c>
      <c r="L357" s="6">
        <f t="shared" si="27"/>
        <v>0</v>
      </c>
    </row>
    <row r="358" spans="1:12">
      <c r="A358">
        <f t="shared" si="28"/>
        <v>345</v>
      </c>
      <c r="B358" s="136">
        <f>IF(C$5=Data!D$3,'Step 2 Inflow Hydrograph'!H402,IF(C$5=Data!D$4,'Step 2 Inflow Hydrograph'!I402,IF(C$5=Data!D$5,'Step 2 Inflow Hydrograph'!J402,'Step 2 Inflow Hydrograph'!K402)))</f>
        <v>0</v>
      </c>
      <c r="C358" s="127"/>
      <c r="D358" s="6">
        <f t="shared" si="25"/>
        <v>0</v>
      </c>
      <c r="E358" s="6"/>
      <c r="F358" s="6">
        <f t="shared" si="29"/>
        <v>0</v>
      </c>
      <c r="G358" s="149">
        <f>INDEX('Step 4 Stage Discharge'!E$26:F$126,MATCH(F358,'Step 4 Stage Discharge'!E$26:E$126,1),2)+(INDEX('Step 4 Stage Discharge'!E$26:F$126,MATCH(F358,'Step 4 Stage Discharge'!E$26:E$126,1)+1,2)-INDEX('Step 4 Stage Discharge'!E$26:F$126,MATCH(F358,'Step 4 Stage Discharge'!E$26:E$126,1),2))*(F358-INDEX('Step 4 Stage Discharge'!E$26:F$126,MATCH(F358,'Step 4 Stage Discharge'!E$26:E$126,1),1))/(INDEX('Step 4 Stage Discharge'!E$26:F$126,MATCH(F358,'Step 4 Stage Discharge'!E$26:E$126,1)+1,1)-INDEX('Step 4 Stage Discharge'!E$26:F$126,MATCH(F358,'Step 4 Stage Discharge'!E$26:E$126,1),1))</f>
        <v>0</v>
      </c>
      <c r="H358" s="149"/>
      <c r="I358" s="149">
        <f>INDEX('Step 4 Stage Discharge'!E$26:M$126,MATCH(F358,'Step 4 Stage Discharge'!E$26:E$126,1),9)+(INDEX('Step 4 Stage Discharge'!E$26:M$126,MATCH('Step 5 Routing'!F358,'Step 4 Stage Discharge'!E$26:E$126,1)+1,9)-INDEX('Step 4 Stage Discharge'!E$26:M$126,MATCH('Step 5 Routing'!F358,'Step 4 Stage Discharge'!E$26:E$126,1),9))*('Step 5 Routing'!F358-INDEX('Step 4 Stage Discharge'!E$26:M$126,MATCH('Step 5 Routing'!F358,'Step 4 Stage Discharge'!E$26:E$126,1),1))/(INDEX('Step 4 Stage Discharge'!E$26:M$126,MATCH('Step 5 Routing'!F358,'Step 4 Stage Discharge'!E$26:E$126,1)+1,1)-INDEX('Step 4 Stage Discharge'!E$26:M$126,MATCH('Step 5 Routing'!F358,'Step 4 Stage Discharge'!E$26:E$126,1),1))</f>
        <v>4.3639431710317386E-3</v>
      </c>
      <c r="J358" s="149"/>
      <c r="K358" s="6">
        <f t="shared" si="26"/>
        <v>0</v>
      </c>
      <c r="L358" s="6">
        <f t="shared" si="27"/>
        <v>0</v>
      </c>
    </row>
    <row r="359" spans="1:12">
      <c r="A359">
        <f t="shared" si="28"/>
        <v>346</v>
      </c>
      <c r="B359" s="136">
        <f>IF(C$5=Data!D$3,'Step 2 Inflow Hydrograph'!H403,IF(C$5=Data!D$4,'Step 2 Inflow Hydrograph'!I403,IF(C$5=Data!D$5,'Step 2 Inflow Hydrograph'!J403,'Step 2 Inflow Hydrograph'!K403)))</f>
        <v>0</v>
      </c>
      <c r="C359" s="127"/>
      <c r="D359" s="6">
        <f t="shared" si="25"/>
        <v>0</v>
      </c>
      <c r="E359" s="6"/>
      <c r="F359" s="6">
        <f t="shared" si="29"/>
        <v>0</v>
      </c>
      <c r="G359" s="149">
        <f>INDEX('Step 4 Stage Discharge'!E$26:F$126,MATCH(F359,'Step 4 Stage Discharge'!E$26:E$126,1),2)+(INDEX('Step 4 Stage Discharge'!E$26:F$126,MATCH(F359,'Step 4 Stage Discharge'!E$26:E$126,1)+1,2)-INDEX('Step 4 Stage Discharge'!E$26:F$126,MATCH(F359,'Step 4 Stage Discharge'!E$26:E$126,1),2))*(F359-INDEX('Step 4 Stage Discharge'!E$26:F$126,MATCH(F359,'Step 4 Stage Discharge'!E$26:E$126,1),1))/(INDEX('Step 4 Stage Discharge'!E$26:F$126,MATCH(F359,'Step 4 Stage Discharge'!E$26:E$126,1)+1,1)-INDEX('Step 4 Stage Discharge'!E$26:F$126,MATCH(F359,'Step 4 Stage Discharge'!E$26:E$126,1),1))</f>
        <v>0</v>
      </c>
      <c r="H359" s="149"/>
      <c r="I359" s="149">
        <f>INDEX('Step 4 Stage Discharge'!E$26:M$126,MATCH(F359,'Step 4 Stage Discharge'!E$26:E$126,1),9)+(INDEX('Step 4 Stage Discharge'!E$26:M$126,MATCH('Step 5 Routing'!F359,'Step 4 Stage Discharge'!E$26:E$126,1)+1,9)-INDEX('Step 4 Stage Discharge'!E$26:M$126,MATCH('Step 5 Routing'!F359,'Step 4 Stage Discharge'!E$26:E$126,1),9))*('Step 5 Routing'!F359-INDEX('Step 4 Stage Discharge'!E$26:M$126,MATCH('Step 5 Routing'!F359,'Step 4 Stage Discharge'!E$26:E$126,1),1))/(INDEX('Step 4 Stage Discharge'!E$26:M$126,MATCH('Step 5 Routing'!F359,'Step 4 Stage Discharge'!E$26:E$126,1)+1,1)-INDEX('Step 4 Stage Discharge'!E$26:M$126,MATCH('Step 5 Routing'!F359,'Step 4 Stage Discharge'!E$26:E$126,1),1))</f>
        <v>4.3639431710317386E-3</v>
      </c>
      <c r="J359" s="149"/>
      <c r="K359" s="6">
        <f t="shared" si="26"/>
        <v>0</v>
      </c>
      <c r="L359" s="6">
        <f t="shared" si="27"/>
        <v>0</v>
      </c>
    </row>
    <row r="360" spans="1:12">
      <c r="A360">
        <f t="shared" si="28"/>
        <v>347</v>
      </c>
      <c r="B360" s="136">
        <f>IF(C$5=Data!D$3,'Step 2 Inflow Hydrograph'!H404,IF(C$5=Data!D$4,'Step 2 Inflow Hydrograph'!I404,IF(C$5=Data!D$5,'Step 2 Inflow Hydrograph'!J404,'Step 2 Inflow Hydrograph'!K404)))</f>
        <v>0</v>
      </c>
      <c r="C360" s="127"/>
      <c r="D360" s="6">
        <f t="shared" si="25"/>
        <v>0</v>
      </c>
      <c r="E360" s="6"/>
      <c r="F360" s="6">
        <f t="shared" si="29"/>
        <v>0</v>
      </c>
      <c r="G360" s="149">
        <f>INDEX('Step 4 Stage Discharge'!E$26:F$126,MATCH(F360,'Step 4 Stage Discharge'!E$26:E$126,1),2)+(INDEX('Step 4 Stage Discharge'!E$26:F$126,MATCH(F360,'Step 4 Stage Discharge'!E$26:E$126,1)+1,2)-INDEX('Step 4 Stage Discharge'!E$26:F$126,MATCH(F360,'Step 4 Stage Discharge'!E$26:E$126,1),2))*(F360-INDEX('Step 4 Stage Discharge'!E$26:F$126,MATCH(F360,'Step 4 Stage Discharge'!E$26:E$126,1),1))/(INDEX('Step 4 Stage Discharge'!E$26:F$126,MATCH(F360,'Step 4 Stage Discharge'!E$26:E$126,1)+1,1)-INDEX('Step 4 Stage Discharge'!E$26:F$126,MATCH(F360,'Step 4 Stage Discharge'!E$26:E$126,1),1))</f>
        <v>0</v>
      </c>
      <c r="H360" s="149"/>
      <c r="I360" s="149">
        <f>INDEX('Step 4 Stage Discharge'!E$26:M$126,MATCH(F360,'Step 4 Stage Discharge'!E$26:E$126,1),9)+(INDEX('Step 4 Stage Discharge'!E$26:M$126,MATCH('Step 5 Routing'!F360,'Step 4 Stage Discharge'!E$26:E$126,1)+1,9)-INDEX('Step 4 Stage Discharge'!E$26:M$126,MATCH('Step 5 Routing'!F360,'Step 4 Stage Discharge'!E$26:E$126,1),9))*('Step 5 Routing'!F360-INDEX('Step 4 Stage Discharge'!E$26:M$126,MATCH('Step 5 Routing'!F360,'Step 4 Stage Discharge'!E$26:E$126,1),1))/(INDEX('Step 4 Stage Discharge'!E$26:M$126,MATCH('Step 5 Routing'!F360,'Step 4 Stage Discharge'!E$26:E$126,1)+1,1)-INDEX('Step 4 Stage Discharge'!E$26:M$126,MATCH('Step 5 Routing'!F360,'Step 4 Stage Discharge'!E$26:E$126,1),1))</f>
        <v>4.3639431710317386E-3</v>
      </c>
      <c r="J360" s="149"/>
      <c r="K360" s="6">
        <f t="shared" si="26"/>
        <v>0</v>
      </c>
      <c r="L360" s="6">
        <f t="shared" si="27"/>
        <v>0</v>
      </c>
    </row>
    <row r="361" spans="1:12">
      <c r="A361">
        <f t="shared" si="28"/>
        <v>348</v>
      </c>
      <c r="B361" s="136">
        <f>IF(C$5=Data!D$3,'Step 2 Inflow Hydrograph'!H405,IF(C$5=Data!D$4,'Step 2 Inflow Hydrograph'!I405,IF(C$5=Data!D$5,'Step 2 Inflow Hydrograph'!J405,'Step 2 Inflow Hydrograph'!K405)))</f>
        <v>0</v>
      </c>
      <c r="C361" s="127"/>
      <c r="D361" s="6">
        <f t="shared" si="25"/>
        <v>0</v>
      </c>
      <c r="E361" s="6"/>
      <c r="F361" s="6">
        <f t="shared" si="29"/>
        <v>0</v>
      </c>
      <c r="G361" s="149">
        <f>INDEX('Step 4 Stage Discharge'!E$26:F$126,MATCH(F361,'Step 4 Stage Discharge'!E$26:E$126,1),2)+(INDEX('Step 4 Stage Discharge'!E$26:F$126,MATCH(F361,'Step 4 Stage Discharge'!E$26:E$126,1)+1,2)-INDEX('Step 4 Stage Discharge'!E$26:F$126,MATCH(F361,'Step 4 Stage Discharge'!E$26:E$126,1),2))*(F361-INDEX('Step 4 Stage Discharge'!E$26:F$126,MATCH(F361,'Step 4 Stage Discharge'!E$26:E$126,1),1))/(INDEX('Step 4 Stage Discharge'!E$26:F$126,MATCH(F361,'Step 4 Stage Discharge'!E$26:E$126,1)+1,1)-INDEX('Step 4 Stage Discharge'!E$26:F$126,MATCH(F361,'Step 4 Stage Discharge'!E$26:E$126,1),1))</f>
        <v>0</v>
      </c>
      <c r="H361" s="149"/>
      <c r="I361" s="149">
        <f>INDEX('Step 4 Stage Discharge'!E$26:M$126,MATCH(F361,'Step 4 Stage Discharge'!E$26:E$126,1),9)+(INDEX('Step 4 Stage Discharge'!E$26:M$126,MATCH('Step 5 Routing'!F361,'Step 4 Stage Discharge'!E$26:E$126,1)+1,9)-INDEX('Step 4 Stage Discharge'!E$26:M$126,MATCH('Step 5 Routing'!F361,'Step 4 Stage Discharge'!E$26:E$126,1),9))*('Step 5 Routing'!F361-INDEX('Step 4 Stage Discharge'!E$26:M$126,MATCH('Step 5 Routing'!F361,'Step 4 Stage Discharge'!E$26:E$126,1),1))/(INDEX('Step 4 Stage Discharge'!E$26:M$126,MATCH('Step 5 Routing'!F361,'Step 4 Stage Discharge'!E$26:E$126,1)+1,1)-INDEX('Step 4 Stage Discharge'!E$26:M$126,MATCH('Step 5 Routing'!F361,'Step 4 Stage Discharge'!E$26:E$126,1),1))</f>
        <v>4.3639431710317386E-3</v>
      </c>
      <c r="J361" s="149"/>
      <c r="K361" s="6">
        <f t="shared" si="26"/>
        <v>0</v>
      </c>
      <c r="L361" s="6">
        <f t="shared" si="27"/>
        <v>0</v>
      </c>
    </row>
    <row r="362" spans="1:12">
      <c r="A362">
        <f t="shared" si="28"/>
        <v>349</v>
      </c>
      <c r="B362" s="136">
        <f>IF(C$5=Data!D$3,'Step 2 Inflow Hydrograph'!H406,IF(C$5=Data!D$4,'Step 2 Inflow Hydrograph'!I406,IF(C$5=Data!D$5,'Step 2 Inflow Hydrograph'!J406,'Step 2 Inflow Hydrograph'!K406)))</f>
        <v>0</v>
      </c>
      <c r="C362" s="127"/>
      <c r="D362" s="6">
        <f t="shared" si="25"/>
        <v>0</v>
      </c>
      <c r="E362" s="6"/>
      <c r="F362" s="6">
        <f t="shared" si="29"/>
        <v>0</v>
      </c>
      <c r="G362" s="149">
        <f>INDEX('Step 4 Stage Discharge'!E$26:F$126,MATCH(F362,'Step 4 Stage Discharge'!E$26:E$126,1),2)+(INDEX('Step 4 Stage Discharge'!E$26:F$126,MATCH(F362,'Step 4 Stage Discharge'!E$26:E$126,1)+1,2)-INDEX('Step 4 Stage Discharge'!E$26:F$126,MATCH(F362,'Step 4 Stage Discharge'!E$26:E$126,1),2))*(F362-INDEX('Step 4 Stage Discharge'!E$26:F$126,MATCH(F362,'Step 4 Stage Discharge'!E$26:E$126,1),1))/(INDEX('Step 4 Stage Discharge'!E$26:F$126,MATCH(F362,'Step 4 Stage Discharge'!E$26:E$126,1)+1,1)-INDEX('Step 4 Stage Discharge'!E$26:F$126,MATCH(F362,'Step 4 Stage Discharge'!E$26:E$126,1),1))</f>
        <v>0</v>
      </c>
      <c r="H362" s="149"/>
      <c r="I362" s="149">
        <f>INDEX('Step 4 Stage Discharge'!E$26:M$126,MATCH(F362,'Step 4 Stage Discharge'!E$26:E$126,1),9)+(INDEX('Step 4 Stage Discharge'!E$26:M$126,MATCH('Step 5 Routing'!F362,'Step 4 Stage Discharge'!E$26:E$126,1)+1,9)-INDEX('Step 4 Stage Discharge'!E$26:M$126,MATCH('Step 5 Routing'!F362,'Step 4 Stage Discharge'!E$26:E$126,1),9))*('Step 5 Routing'!F362-INDEX('Step 4 Stage Discharge'!E$26:M$126,MATCH('Step 5 Routing'!F362,'Step 4 Stage Discharge'!E$26:E$126,1),1))/(INDEX('Step 4 Stage Discharge'!E$26:M$126,MATCH('Step 5 Routing'!F362,'Step 4 Stage Discharge'!E$26:E$126,1)+1,1)-INDEX('Step 4 Stage Discharge'!E$26:M$126,MATCH('Step 5 Routing'!F362,'Step 4 Stage Discharge'!E$26:E$126,1),1))</f>
        <v>4.3639431710317386E-3</v>
      </c>
      <c r="J362" s="149"/>
      <c r="K362" s="6">
        <f t="shared" si="26"/>
        <v>0</v>
      </c>
      <c r="L362" s="6">
        <f t="shared" si="27"/>
        <v>0</v>
      </c>
    </row>
    <row r="363" spans="1:12">
      <c r="A363">
        <f t="shared" si="28"/>
        <v>350</v>
      </c>
      <c r="B363" s="136">
        <f>IF(C$5=Data!D$3,'Step 2 Inflow Hydrograph'!H407,IF(C$5=Data!D$4,'Step 2 Inflow Hydrograph'!I407,IF(C$5=Data!D$5,'Step 2 Inflow Hydrograph'!J407,'Step 2 Inflow Hydrograph'!K407)))</f>
        <v>0</v>
      </c>
      <c r="C363" s="127"/>
      <c r="D363" s="6">
        <f t="shared" si="25"/>
        <v>0</v>
      </c>
      <c r="E363" s="6"/>
      <c r="F363" s="6">
        <f t="shared" si="29"/>
        <v>0</v>
      </c>
      <c r="G363" s="149">
        <f>INDEX('Step 4 Stage Discharge'!E$26:F$126,MATCH(F363,'Step 4 Stage Discharge'!E$26:E$126,1),2)+(INDEX('Step 4 Stage Discharge'!E$26:F$126,MATCH(F363,'Step 4 Stage Discharge'!E$26:E$126,1)+1,2)-INDEX('Step 4 Stage Discharge'!E$26:F$126,MATCH(F363,'Step 4 Stage Discharge'!E$26:E$126,1),2))*(F363-INDEX('Step 4 Stage Discharge'!E$26:F$126,MATCH(F363,'Step 4 Stage Discharge'!E$26:E$126,1),1))/(INDEX('Step 4 Stage Discharge'!E$26:F$126,MATCH(F363,'Step 4 Stage Discharge'!E$26:E$126,1)+1,1)-INDEX('Step 4 Stage Discharge'!E$26:F$126,MATCH(F363,'Step 4 Stage Discharge'!E$26:E$126,1),1))</f>
        <v>0</v>
      </c>
      <c r="H363" s="149"/>
      <c r="I363" s="149">
        <f>INDEX('Step 4 Stage Discharge'!E$26:M$126,MATCH(F363,'Step 4 Stage Discharge'!E$26:E$126,1),9)+(INDEX('Step 4 Stage Discharge'!E$26:M$126,MATCH('Step 5 Routing'!F363,'Step 4 Stage Discharge'!E$26:E$126,1)+1,9)-INDEX('Step 4 Stage Discharge'!E$26:M$126,MATCH('Step 5 Routing'!F363,'Step 4 Stage Discharge'!E$26:E$126,1),9))*('Step 5 Routing'!F363-INDEX('Step 4 Stage Discharge'!E$26:M$126,MATCH('Step 5 Routing'!F363,'Step 4 Stage Discharge'!E$26:E$126,1),1))/(INDEX('Step 4 Stage Discharge'!E$26:M$126,MATCH('Step 5 Routing'!F363,'Step 4 Stage Discharge'!E$26:E$126,1)+1,1)-INDEX('Step 4 Stage Discharge'!E$26:M$126,MATCH('Step 5 Routing'!F363,'Step 4 Stage Discharge'!E$26:E$126,1),1))</f>
        <v>4.3639431710317386E-3</v>
      </c>
      <c r="J363" s="149"/>
      <c r="K363" s="6">
        <f t="shared" si="26"/>
        <v>0</v>
      </c>
      <c r="L363" s="6">
        <f t="shared" si="27"/>
        <v>0</v>
      </c>
    </row>
    <row r="364" spans="1:12">
      <c r="A364">
        <f t="shared" si="28"/>
        <v>351</v>
      </c>
      <c r="B364" s="136">
        <f>IF(C$5=Data!D$3,'Step 2 Inflow Hydrograph'!H408,IF(C$5=Data!D$4,'Step 2 Inflow Hydrograph'!I408,IF(C$5=Data!D$5,'Step 2 Inflow Hydrograph'!J408,'Step 2 Inflow Hydrograph'!K408)))</f>
        <v>0</v>
      </c>
      <c r="C364" s="127"/>
      <c r="D364" s="6">
        <f t="shared" si="25"/>
        <v>0</v>
      </c>
      <c r="E364" s="6"/>
      <c r="F364" s="6">
        <f t="shared" si="29"/>
        <v>0</v>
      </c>
      <c r="G364" s="149">
        <f>INDEX('Step 4 Stage Discharge'!E$26:F$126,MATCH(F364,'Step 4 Stage Discharge'!E$26:E$126,1),2)+(INDEX('Step 4 Stage Discharge'!E$26:F$126,MATCH(F364,'Step 4 Stage Discharge'!E$26:E$126,1)+1,2)-INDEX('Step 4 Stage Discharge'!E$26:F$126,MATCH(F364,'Step 4 Stage Discharge'!E$26:E$126,1),2))*(F364-INDEX('Step 4 Stage Discharge'!E$26:F$126,MATCH(F364,'Step 4 Stage Discharge'!E$26:E$126,1),1))/(INDEX('Step 4 Stage Discharge'!E$26:F$126,MATCH(F364,'Step 4 Stage Discharge'!E$26:E$126,1)+1,1)-INDEX('Step 4 Stage Discharge'!E$26:F$126,MATCH(F364,'Step 4 Stage Discharge'!E$26:E$126,1),1))</f>
        <v>0</v>
      </c>
      <c r="H364" s="149"/>
      <c r="I364" s="149">
        <f>INDEX('Step 4 Stage Discharge'!E$26:M$126,MATCH(F364,'Step 4 Stage Discharge'!E$26:E$126,1),9)+(INDEX('Step 4 Stage Discharge'!E$26:M$126,MATCH('Step 5 Routing'!F364,'Step 4 Stage Discharge'!E$26:E$126,1)+1,9)-INDEX('Step 4 Stage Discharge'!E$26:M$126,MATCH('Step 5 Routing'!F364,'Step 4 Stage Discharge'!E$26:E$126,1),9))*('Step 5 Routing'!F364-INDEX('Step 4 Stage Discharge'!E$26:M$126,MATCH('Step 5 Routing'!F364,'Step 4 Stage Discharge'!E$26:E$126,1),1))/(INDEX('Step 4 Stage Discharge'!E$26:M$126,MATCH('Step 5 Routing'!F364,'Step 4 Stage Discharge'!E$26:E$126,1)+1,1)-INDEX('Step 4 Stage Discharge'!E$26:M$126,MATCH('Step 5 Routing'!F364,'Step 4 Stage Discharge'!E$26:E$126,1),1))</f>
        <v>4.3639431710317386E-3</v>
      </c>
      <c r="J364" s="149"/>
      <c r="K364" s="6">
        <f t="shared" si="26"/>
        <v>0</v>
      </c>
      <c r="L364" s="6">
        <f t="shared" si="27"/>
        <v>0</v>
      </c>
    </row>
    <row r="365" spans="1:12">
      <c r="A365">
        <f t="shared" si="28"/>
        <v>352</v>
      </c>
      <c r="B365" s="136">
        <f>IF(C$5=Data!D$3,'Step 2 Inflow Hydrograph'!H409,IF(C$5=Data!D$4,'Step 2 Inflow Hydrograph'!I409,IF(C$5=Data!D$5,'Step 2 Inflow Hydrograph'!J409,'Step 2 Inflow Hydrograph'!K409)))</f>
        <v>0</v>
      </c>
      <c r="C365" s="127"/>
      <c r="D365" s="6">
        <f t="shared" si="25"/>
        <v>0</v>
      </c>
      <c r="E365" s="6"/>
      <c r="F365" s="6">
        <f t="shared" si="29"/>
        <v>0</v>
      </c>
      <c r="G365" s="149">
        <f>INDEX('Step 4 Stage Discharge'!E$26:F$126,MATCH(F365,'Step 4 Stage Discharge'!E$26:E$126,1),2)+(INDEX('Step 4 Stage Discharge'!E$26:F$126,MATCH(F365,'Step 4 Stage Discharge'!E$26:E$126,1)+1,2)-INDEX('Step 4 Stage Discharge'!E$26:F$126,MATCH(F365,'Step 4 Stage Discharge'!E$26:E$126,1),2))*(F365-INDEX('Step 4 Stage Discharge'!E$26:F$126,MATCH(F365,'Step 4 Stage Discharge'!E$26:E$126,1),1))/(INDEX('Step 4 Stage Discharge'!E$26:F$126,MATCH(F365,'Step 4 Stage Discharge'!E$26:E$126,1)+1,1)-INDEX('Step 4 Stage Discharge'!E$26:F$126,MATCH(F365,'Step 4 Stage Discharge'!E$26:E$126,1),1))</f>
        <v>0</v>
      </c>
      <c r="H365" s="149"/>
      <c r="I365" s="149">
        <f>INDEX('Step 4 Stage Discharge'!E$26:M$126,MATCH(F365,'Step 4 Stage Discharge'!E$26:E$126,1),9)+(INDEX('Step 4 Stage Discharge'!E$26:M$126,MATCH('Step 5 Routing'!F365,'Step 4 Stage Discharge'!E$26:E$126,1)+1,9)-INDEX('Step 4 Stage Discharge'!E$26:M$126,MATCH('Step 5 Routing'!F365,'Step 4 Stage Discharge'!E$26:E$126,1),9))*('Step 5 Routing'!F365-INDEX('Step 4 Stage Discharge'!E$26:M$126,MATCH('Step 5 Routing'!F365,'Step 4 Stage Discharge'!E$26:E$126,1),1))/(INDEX('Step 4 Stage Discharge'!E$26:M$126,MATCH('Step 5 Routing'!F365,'Step 4 Stage Discharge'!E$26:E$126,1)+1,1)-INDEX('Step 4 Stage Discharge'!E$26:M$126,MATCH('Step 5 Routing'!F365,'Step 4 Stage Discharge'!E$26:E$126,1),1))</f>
        <v>4.3639431710317386E-3</v>
      </c>
      <c r="J365" s="149"/>
      <c r="K365" s="6">
        <f t="shared" si="26"/>
        <v>0</v>
      </c>
      <c r="L365" s="6">
        <f t="shared" si="27"/>
        <v>0</v>
      </c>
    </row>
    <row r="366" spans="1:12">
      <c r="A366">
        <f t="shared" si="28"/>
        <v>353</v>
      </c>
      <c r="B366" s="136">
        <f>IF(C$5=Data!D$3,'Step 2 Inflow Hydrograph'!H410,IF(C$5=Data!D$4,'Step 2 Inflow Hydrograph'!I410,IF(C$5=Data!D$5,'Step 2 Inflow Hydrograph'!J410,'Step 2 Inflow Hydrograph'!K410)))</f>
        <v>0</v>
      </c>
      <c r="C366" s="127"/>
      <c r="D366" s="6">
        <f t="shared" si="25"/>
        <v>0</v>
      </c>
      <c r="E366" s="6"/>
      <c r="F366" s="6">
        <f t="shared" si="29"/>
        <v>0</v>
      </c>
      <c r="G366" s="149">
        <f>INDEX('Step 4 Stage Discharge'!E$26:F$126,MATCH(F366,'Step 4 Stage Discharge'!E$26:E$126,1),2)+(INDEX('Step 4 Stage Discharge'!E$26:F$126,MATCH(F366,'Step 4 Stage Discharge'!E$26:E$126,1)+1,2)-INDEX('Step 4 Stage Discharge'!E$26:F$126,MATCH(F366,'Step 4 Stage Discharge'!E$26:E$126,1),2))*(F366-INDEX('Step 4 Stage Discharge'!E$26:F$126,MATCH(F366,'Step 4 Stage Discharge'!E$26:E$126,1),1))/(INDEX('Step 4 Stage Discharge'!E$26:F$126,MATCH(F366,'Step 4 Stage Discharge'!E$26:E$126,1)+1,1)-INDEX('Step 4 Stage Discharge'!E$26:F$126,MATCH(F366,'Step 4 Stage Discharge'!E$26:E$126,1),1))</f>
        <v>0</v>
      </c>
      <c r="H366" s="149"/>
      <c r="I366" s="149">
        <f>INDEX('Step 4 Stage Discharge'!E$26:M$126,MATCH(F366,'Step 4 Stage Discharge'!E$26:E$126,1),9)+(INDEX('Step 4 Stage Discharge'!E$26:M$126,MATCH('Step 5 Routing'!F366,'Step 4 Stage Discharge'!E$26:E$126,1)+1,9)-INDEX('Step 4 Stage Discharge'!E$26:M$126,MATCH('Step 5 Routing'!F366,'Step 4 Stage Discharge'!E$26:E$126,1),9))*('Step 5 Routing'!F366-INDEX('Step 4 Stage Discharge'!E$26:M$126,MATCH('Step 5 Routing'!F366,'Step 4 Stage Discharge'!E$26:E$126,1),1))/(INDEX('Step 4 Stage Discharge'!E$26:M$126,MATCH('Step 5 Routing'!F366,'Step 4 Stage Discharge'!E$26:E$126,1)+1,1)-INDEX('Step 4 Stage Discharge'!E$26:M$126,MATCH('Step 5 Routing'!F366,'Step 4 Stage Discharge'!E$26:E$126,1),1))</f>
        <v>4.3639431710317386E-3</v>
      </c>
      <c r="J366" s="149"/>
      <c r="K366" s="6">
        <f t="shared" si="26"/>
        <v>0</v>
      </c>
      <c r="L366" s="6">
        <f t="shared" si="27"/>
        <v>0</v>
      </c>
    </row>
    <row r="367" spans="1:12">
      <c r="A367">
        <f t="shared" si="28"/>
        <v>354</v>
      </c>
      <c r="B367" s="136">
        <f>IF(C$5=Data!D$3,'Step 2 Inflow Hydrograph'!H411,IF(C$5=Data!D$4,'Step 2 Inflow Hydrograph'!I411,IF(C$5=Data!D$5,'Step 2 Inflow Hydrograph'!J411,'Step 2 Inflow Hydrograph'!K411)))</f>
        <v>0</v>
      </c>
      <c r="C367" s="127"/>
      <c r="D367" s="6">
        <f t="shared" si="25"/>
        <v>0</v>
      </c>
      <c r="E367" s="6"/>
      <c r="F367" s="6">
        <f t="shared" si="29"/>
        <v>0</v>
      </c>
      <c r="G367" s="149">
        <f>INDEX('Step 4 Stage Discharge'!E$26:F$126,MATCH(F367,'Step 4 Stage Discharge'!E$26:E$126,1),2)+(INDEX('Step 4 Stage Discharge'!E$26:F$126,MATCH(F367,'Step 4 Stage Discharge'!E$26:E$126,1)+1,2)-INDEX('Step 4 Stage Discharge'!E$26:F$126,MATCH(F367,'Step 4 Stage Discharge'!E$26:E$126,1),2))*(F367-INDEX('Step 4 Stage Discharge'!E$26:F$126,MATCH(F367,'Step 4 Stage Discharge'!E$26:E$126,1),1))/(INDEX('Step 4 Stage Discharge'!E$26:F$126,MATCH(F367,'Step 4 Stage Discharge'!E$26:E$126,1)+1,1)-INDEX('Step 4 Stage Discharge'!E$26:F$126,MATCH(F367,'Step 4 Stage Discharge'!E$26:E$126,1),1))</f>
        <v>0</v>
      </c>
      <c r="H367" s="149"/>
      <c r="I367" s="149">
        <f>INDEX('Step 4 Stage Discharge'!E$26:M$126,MATCH(F367,'Step 4 Stage Discharge'!E$26:E$126,1),9)+(INDEX('Step 4 Stage Discharge'!E$26:M$126,MATCH('Step 5 Routing'!F367,'Step 4 Stage Discharge'!E$26:E$126,1)+1,9)-INDEX('Step 4 Stage Discharge'!E$26:M$126,MATCH('Step 5 Routing'!F367,'Step 4 Stage Discharge'!E$26:E$126,1),9))*('Step 5 Routing'!F367-INDEX('Step 4 Stage Discharge'!E$26:M$126,MATCH('Step 5 Routing'!F367,'Step 4 Stage Discharge'!E$26:E$126,1),1))/(INDEX('Step 4 Stage Discharge'!E$26:M$126,MATCH('Step 5 Routing'!F367,'Step 4 Stage Discharge'!E$26:E$126,1)+1,1)-INDEX('Step 4 Stage Discharge'!E$26:M$126,MATCH('Step 5 Routing'!F367,'Step 4 Stage Discharge'!E$26:E$126,1),1))</f>
        <v>4.3639431710317386E-3</v>
      </c>
      <c r="J367" s="149"/>
      <c r="K367" s="6">
        <f t="shared" si="26"/>
        <v>0</v>
      </c>
      <c r="L367" s="6">
        <f t="shared" si="27"/>
        <v>0</v>
      </c>
    </row>
    <row r="368" spans="1:12">
      <c r="A368">
        <f t="shared" si="28"/>
        <v>355</v>
      </c>
      <c r="B368" s="136">
        <f>IF(C$5=Data!D$3,'Step 2 Inflow Hydrograph'!H412,IF(C$5=Data!D$4,'Step 2 Inflow Hydrograph'!I412,IF(C$5=Data!D$5,'Step 2 Inflow Hydrograph'!J412,'Step 2 Inflow Hydrograph'!K412)))</f>
        <v>0</v>
      </c>
      <c r="C368" s="127"/>
      <c r="D368" s="6">
        <f t="shared" si="25"/>
        <v>0</v>
      </c>
      <c r="E368" s="6"/>
      <c r="F368" s="6">
        <f t="shared" si="29"/>
        <v>0</v>
      </c>
      <c r="G368" s="149">
        <f>INDEX('Step 4 Stage Discharge'!E$26:F$126,MATCH(F368,'Step 4 Stage Discharge'!E$26:E$126,1),2)+(INDEX('Step 4 Stage Discharge'!E$26:F$126,MATCH(F368,'Step 4 Stage Discharge'!E$26:E$126,1)+1,2)-INDEX('Step 4 Stage Discharge'!E$26:F$126,MATCH(F368,'Step 4 Stage Discharge'!E$26:E$126,1),2))*(F368-INDEX('Step 4 Stage Discharge'!E$26:F$126,MATCH(F368,'Step 4 Stage Discharge'!E$26:E$126,1),1))/(INDEX('Step 4 Stage Discharge'!E$26:F$126,MATCH(F368,'Step 4 Stage Discharge'!E$26:E$126,1)+1,1)-INDEX('Step 4 Stage Discharge'!E$26:F$126,MATCH(F368,'Step 4 Stage Discharge'!E$26:E$126,1),1))</f>
        <v>0</v>
      </c>
      <c r="H368" s="149"/>
      <c r="I368" s="149">
        <f>INDEX('Step 4 Stage Discharge'!E$26:M$126,MATCH(F368,'Step 4 Stage Discharge'!E$26:E$126,1),9)+(INDEX('Step 4 Stage Discharge'!E$26:M$126,MATCH('Step 5 Routing'!F368,'Step 4 Stage Discharge'!E$26:E$126,1)+1,9)-INDEX('Step 4 Stage Discharge'!E$26:M$126,MATCH('Step 5 Routing'!F368,'Step 4 Stage Discharge'!E$26:E$126,1),9))*('Step 5 Routing'!F368-INDEX('Step 4 Stage Discharge'!E$26:M$126,MATCH('Step 5 Routing'!F368,'Step 4 Stage Discharge'!E$26:E$126,1),1))/(INDEX('Step 4 Stage Discharge'!E$26:M$126,MATCH('Step 5 Routing'!F368,'Step 4 Stage Discharge'!E$26:E$126,1)+1,1)-INDEX('Step 4 Stage Discharge'!E$26:M$126,MATCH('Step 5 Routing'!F368,'Step 4 Stage Discharge'!E$26:E$126,1),1))</f>
        <v>4.3639431710317386E-3</v>
      </c>
      <c r="J368" s="149"/>
      <c r="K368" s="6">
        <f t="shared" si="26"/>
        <v>0</v>
      </c>
      <c r="L368" s="6">
        <f t="shared" si="27"/>
        <v>0</v>
      </c>
    </row>
    <row r="369" spans="1:12">
      <c r="A369">
        <f t="shared" si="28"/>
        <v>356</v>
      </c>
      <c r="B369" s="136">
        <f>IF(C$5=Data!D$3,'Step 2 Inflow Hydrograph'!H413,IF(C$5=Data!D$4,'Step 2 Inflow Hydrograph'!I413,IF(C$5=Data!D$5,'Step 2 Inflow Hydrograph'!J413,'Step 2 Inflow Hydrograph'!K413)))</f>
        <v>0</v>
      </c>
      <c r="C369" s="127"/>
      <c r="D369" s="6">
        <f t="shared" si="25"/>
        <v>0</v>
      </c>
      <c r="E369" s="6"/>
      <c r="F369" s="6">
        <f t="shared" si="29"/>
        <v>0</v>
      </c>
      <c r="G369" s="149">
        <f>INDEX('Step 4 Stage Discharge'!E$26:F$126,MATCH(F369,'Step 4 Stage Discharge'!E$26:E$126,1),2)+(INDEX('Step 4 Stage Discharge'!E$26:F$126,MATCH(F369,'Step 4 Stage Discharge'!E$26:E$126,1)+1,2)-INDEX('Step 4 Stage Discharge'!E$26:F$126,MATCH(F369,'Step 4 Stage Discharge'!E$26:E$126,1),2))*(F369-INDEX('Step 4 Stage Discharge'!E$26:F$126,MATCH(F369,'Step 4 Stage Discharge'!E$26:E$126,1),1))/(INDEX('Step 4 Stage Discharge'!E$26:F$126,MATCH(F369,'Step 4 Stage Discharge'!E$26:E$126,1)+1,1)-INDEX('Step 4 Stage Discharge'!E$26:F$126,MATCH(F369,'Step 4 Stage Discharge'!E$26:E$126,1),1))</f>
        <v>0</v>
      </c>
      <c r="H369" s="149"/>
      <c r="I369" s="149">
        <f>INDEX('Step 4 Stage Discharge'!E$26:M$126,MATCH(F369,'Step 4 Stage Discharge'!E$26:E$126,1),9)+(INDEX('Step 4 Stage Discharge'!E$26:M$126,MATCH('Step 5 Routing'!F369,'Step 4 Stage Discharge'!E$26:E$126,1)+1,9)-INDEX('Step 4 Stage Discharge'!E$26:M$126,MATCH('Step 5 Routing'!F369,'Step 4 Stage Discharge'!E$26:E$126,1),9))*('Step 5 Routing'!F369-INDEX('Step 4 Stage Discharge'!E$26:M$126,MATCH('Step 5 Routing'!F369,'Step 4 Stage Discharge'!E$26:E$126,1),1))/(INDEX('Step 4 Stage Discharge'!E$26:M$126,MATCH('Step 5 Routing'!F369,'Step 4 Stage Discharge'!E$26:E$126,1)+1,1)-INDEX('Step 4 Stage Discharge'!E$26:M$126,MATCH('Step 5 Routing'!F369,'Step 4 Stage Discharge'!E$26:E$126,1),1))</f>
        <v>4.3639431710317386E-3</v>
      </c>
      <c r="J369" s="149"/>
      <c r="K369" s="6">
        <f t="shared" si="26"/>
        <v>0</v>
      </c>
      <c r="L369" s="6">
        <f t="shared" si="27"/>
        <v>0</v>
      </c>
    </row>
    <row r="370" spans="1:12">
      <c r="A370">
        <f t="shared" si="28"/>
        <v>357</v>
      </c>
      <c r="B370" s="136">
        <f>IF(C$5=Data!D$3,'Step 2 Inflow Hydrograph'!H414,IF(C$5=Data!D$4,'Step 2 Inflow Hydrograph'!I414,IF(C$5=Data!D$5,'Step 2 Inflow Hydrograph'!J414,'Step 2 Inflow Hydrograph'!K414)))</f>
        <v>0</v>
      </c>
      <c r="C370" s="127"/>
      <c r="D370" s="6">
        <f t="shared" si="25"/>
        <v>0</v>
      </c>
      <c r="E370" s="6"/>
      <c r="F370" s="6">
        <f t="shared" si="29"/>
        <v>0</v>
      </c>
      <c r="G370" s="149">
        <f>INDEX('Step 4 Stage Discharge'!E$26:F$126,MATCH(F370,'Step 4 Stage Discharge'!E$26:E$126,1),2)+(INDEX('Step 4 Stage Discharge'!E$26:F$126,MATCH(F370,'Step 4 Stage Discharge'!E$26:E$126,1)+1,2)-INDEX('Step 4 Stage Discharge'!E$26:F$126,MATCH(F370,'Step 4 Stage Discharge'!E$26:E$126,1),2))*(F370-INDEX('Step 4 Stage Discharge'!E$26:F$126,MATCH(F370,'Step 4 Stage Discharge'!E$26:E$126,1),1))/(INDEX('Step 4 Stage Discharge'!E$26:F$126,MATCH(F370,'Step 4 Stage Discharge'!E$26:E$126,1)+1,1)-INDEX('Step 4 Stage Discharge'!E$26:F$126,MATCH(F370,'Step 4 Stage Discharge'!E$26:E$126,1),1))</f>
        <v>0</v>
      </c>
      <c r="H370" s="149"/>
      <c r="I370" s="149">
        <f>INDEX('Step 4 Stage Discharge'!E$26:M$126,MATCH(F370,'Step 4 Stage Discharge'!E$26:E$126,1),9)+(INDEX('Step 4 Stage Discharge'!E$26:M$126,MATCH('Step 5 Routing'!F370,'Step 4 Stage Discharge'!E$26:E$126,1)+1,9)-INDEX('Step 4 Stage Discharge'!E$26:M$126,MATCH('Step 5 Routing'!F370,'Step 4 Stage Discharge'!E$26:E$126,1),9))*('Step 5 Routing'!F370-INDEX('Step 4 Stage Discharge'!E$26:M$126,MATCH('Step 5 Routing'!F370,'Step 4 Stage Discharge'!E$26:E$126,1),1))/(INDEX('Step 4 Stage Discharge'!E$26:M$126,MATCH('Step 5 Routing'!F370,'Step 4 Stage Discharge'!E$26:E$126,1)+1,1)-INDEX('Step 4 Stage Discharge'!E$26:M$126,MATCH('Step 5 Routing'!F370,'Step 4 Stage Discharge'!E$26:E$126,1),1))</f>
        <v>4.3639431710317386E-3</v>
      </c>
      <c r="J370" s="149"/>
      <c r="K370" s="6">
        <f t="shared" si="26"/>
        <v>0</v>
      </c>
      <c r="L370" s="6">
        <f t="shared" si="27"/>
        <v>0</v>
      </c>
    </row>
    <row r="371" spans="1:12">
      <c r="A371">
        <f t="shared" si="28"/>
        <v>358</v>
      </c>
      <c r="B371" s="136">
        <f>IF(C$5=Data!D$3,'Step 2 Inflow Hydrograph'!H415,IF(C$5=Data!D$4,'Step 2 Inflow Hydrograph'!I415,IF(C$5=Data!D$5,'Step 2 Inflow Hydrograph'!J415,'Step 2 Inflow Hydrograph'!K415)))</f>
        <v>0</v>
      </c>
      <c r="C371" s="127"/>
      <c r="D371" s="6">
        <f t="shared" si="25"/>
        <v>0</v>
      </c>
      <c r="E371" s="6"/>
      <c r="F371" s="6">
        <f t="shared" si="29"/>
        <v>0</v>
      </c>
      <c r="G371" s="149">
        <f>INDEX('Step 4 Stage Discharge'!E$26:F$126,MATCH(F371,'Step 4 Stage Discharge'!E$26:E$126,1),2)+(INDEX('Step 4 Stage Discharge'!E$26:F$126,MATCH(F371,'Step 4 Stage Discharge'!E$26:E$126,1)+1,2)-INDEX('Step 4 Stage Discharge'!E$26:F$126,MATCH(F371,'Step 4 Stage Discharge'!E$26:E$126,1),2))*(F371-INDEX('Step 4 Stage Discharge'!E$26:F$126,MATCH(F371,'Step 4 Stage Discharge'!E$26:E$126,1),1))/(INDEX('Step 4 Stage Discharge'!E$26:F$126,MATCH(F371,'Step 4 Stage Discharge'!E$26:E$126,1)+1,1)-INDEX('Step 4 Stage Discharge'!E$26:F$126,MATCH(F371,'Step 4 Stage Discharge'!E$26:E$126,1),1))</f>
        <v>0</v>
      </c>
      <c r="H371" s="149"/>
      <c r="I371" s="149">
        <f>INDEX('Step 4 Stage Discharge'!E$26:M$126,MATCH(F371,'Step 4 Stage Discharge'!E$26:E$126,1),9)+(INDEX('Step 4 Stage Discharge'!E$26:M$126,MATCH('Step 5 Routing'!F371,'Step 4 Stage Discharge'!E$26:E$126,1)+1,9)-INDEX('Step 4 Stage Discharge'!E$26:M$126,MATCH('Step 5 Routing'!F371,'Step 4 Stage Discharge'!E$26:E$126,1),9))*('Step 5 Routing'!F371-INDEX('Step 4 Stage Discharge'!E$26:M$126,MATCH('Step 5 Routing'!F371,'Step 4 Stage Discharge'!E$26:E$126,1),1))/(INDEX('Step 4 Stage Discharge'!E$26:M$126,MATCH('Step 5 Routing'!F371,'Step 4 Stage Discharge'!E$26:E$126,1)+1,1)-INDEX('Step 4 Stage Discharge'!E$26:M$126,MATCH('Step 5 Routing'!F371,'Step 4 Stage Discharge'!E$26:E$126,1),1))</f>
        <v>4.3639431710317386E-3</v>
      </c>
      <c r="J371" s="149"/>
      <c r="K371" s="6">
        <f t="shared" si="26"/>
        <v>0</v>
      </c>
      <c r="L371" s="6">
        <f t="shared" si="27"/>
        <v>0</v>
      </c>
    </row>
    <row r="372" spans="1:12">
      <c r="A372">
        <f t="shared" si="28"/>
        <v>359</v>
      </c>
      <c r="B372" s="136">
        <f>IF(C$5=Data!D$3,'Step 2 Inflow Hydrograph'!H416,IF(C$5=Data!D$4,'Step 2 Inflow Hydrograph'!I416,IF(C$5=Data!D$5,'Step 2 Inflow Hydrograph'!J416,'Step 2 Inflow Hydrograph'!K416)))</f>
        <v>0</v>
      </c>
      <c r="C372" s="127"/>
      <c r="D372" s="6">
        <f t="shared" si="25"/>
        <v>0</v>
      </c>
      <c r="E372" s="6"/>
      <c r="F372" s="6">
        <f t="shared" si="29"/>
        <v>0</v>
      </c>
      <c r="G372" s="149">
        <f>INDEX('Step 4 Stage Discharge'!E$26:F$126,MATCH(F372,'Step 4 Stage Discharge'!E$26:E$126,1),2)+(INDEX('Step 4 Stage Discharge'!E$26:F$126,MATCH(F372,'Step 4 Stage Discharge'!E$26:E$126,1)+1,2)-INDEX('Step 4 Stage Discharge'!E$26:F$126,MATCH(F372,'Step 4 Stage Discharge'!E$26:E$126,1),2))*(F372-INDEX('Step 4 Stage Discharge'!E$26:F$126,MATCH(F372,'Step 4 Stage Discharge'!E$26:E$126,1),1))/(INDEX('Step 4 Stage Discharge'!E$26:F$126,MATCH(F372,'Step 4 Stage Discharge'!E$26:E$126,1)+1,1)-INDEX('Step 4 Stage Discharge'!E$26:F$126,MATCH(F372,'Step 4 Stage Discharge'!E$26:E$126,1),1))</f>
        <v>0</v>
      </c>
      <c r="H372" s="149"/>
      <c r="I372" s="149">
        <f>INDEX('Step 4 Stage Discharge'!E$26:M$126,MATCH(F372,'Step 4 Stage Discharge'!E$26:E$126,1),9)+(INDEX('Step 4 Stage Discharge'!E$26:M$126,MATCH('Step 5 Routing'!F372,'Step 4 Stage Discharge'!E$26:E$126,1)+1,9)-INDEX('Step 4 Stage Discharge'!E$26:M$126,MATCH('Step 5 Routing'!F372,'Step 4 Stage Discharge'!E$26:E$126,1),9))*('Step 5 Routing'!F372-INDEX('Step 4 Stage Discharge'!E$26:M$126,MATCH('Step 5 Routing'!F372,'Step 4 Stage Discharge'!E$26:E$126,1),1))/(INDEX('Step 4 Stage Discharge'!E$26:M$126,MATCH('Step 5 Routing'!F372,'Step 4 Stage Discharge'!E$26:E$126,1)+1,1)-INDEX('Step 4 Stage Discharge'!E$26:M$126,MATCH('Step 5 Routing'!F372,'Step 4 Stage Discharge'!E$26:E$126,1),1))</f>
        <v>4.3639431710317386E-3</v>
      </c>
      <c r="J372" s="149"/>
      <c r="K372" s="6">
        <f t="shared" si="26"/>
        <v>0</v>
      </c>
      <c r="L372" s="6">
        <f t="shared" si="27"/>
        <v>0</v>
      </c>
    </row>
    <row r="373" spans="1:12">
      <c r="A373">
        <f t="shared" si="28"/>
        <v>360</v>
      </c>
      <c r="B373" s="136">
        <f>IF(C$5=Data!D$3,'Step 2 Inflow Hydrograph'!H417,IF(C$5=Data!D$4,'Step 2 Inflow Hydrograph'!I417,IF(C$5=Data!D$5,'Step 2 Inflow Hydrograph'!J417,'Step 2 Inflow Hydrograph'!K417)))</f>
        <v>0</v>
      </c>
      <c r="C373" s="127"/>
      <c r="D373" s="6">
        <f t="shared" si="25"/>
        <v>0</v>
      </c>
      <c r="E373" s="6"/>
      <c r="F373" s="6">
        <f t="shared" si="29"/>
        <v>0</v>
      </c>
      <c r="G373" s="149">
        <f>INDEX('Step 4 Stage Discharge'!E$26:F$126,MATCH(F373,'Step 4 Stage Discharge'!E$26:E$126,1),2)+(INDEX('Step 4 Stage Discharge'!E$26:F$126,MATCH(F373,'Step 4 Stage Discharge'!E$26:E$126,1)+1,2)-INDEX('Step 4 Stage Discharge'!E$26:F$126,MATCH(F373,'Step 4 Stage Discharge'!E$26:E$126,1),2))*(F373-INDEX('Step 4 Stage Discharge'!E$26:F$126,MATCH(F373,'Step 4 Stage Discharge'!E$26:E$126,1),1))/(INDEX('Step 4 Stage Discharge'!E$26:F$126,MATCH(F373,'Step 4 Stage Discharge'!E$26:E$126,1)+1,1)-INDEX('Step 4 Stage Discharge'!E$26:F$126,MATCH(F373,'Step 4 Stage Discharge'!E$26:E$126,1),1))</f>
        <v>0</v>
      </c>
      <c r="H373" s="149"/>
      <c r="I373" s="149">
        <f>INDEX('Step 4 Stage Discharge'!E$26:M$126,MATCH(F373,'Step 4 Stage Discharge'!E$26:E$126,1),9)+(INDEX('Step 4 Stage Discharge'!E$26:M$126,MATCH('Step 5 Routing'!F373,'Step 4 Stage Discharge'!E$26:E$126,1)+1,9)-INDEX('Step 4 Stage Discharge'!E$26:M$126,MATCH('Step 5 Routing'!F373,'Step 4 Stage Discharge'!E$26:E$126,1),9))*('Step 5 Routing'!F373-INDEX('Step 4 Stage Discharge'!E$26:M$126,MATCH('Step 5 Routing'!F373,'Step 4 Stage Discharge'!E$26:E$126,1),1))/(INDEX('Step 4 Stage Discharge'!E$26:M$126,MATCH('Step 5 Routing'!F373,'Step 4 Stage Discharge'!E$26:E$126,1)+1,1)-INDEX('Step 4 Stage Discharge'!E$26:M$126,MATCH('Step 5 Routing'!F373,'Step 4 Stage Discharge'!E$26:E$126,1),1))</f>
        <v>4.3639431710317386E-3</v>
      </c>
      <c r="J373" s="149"/>
      <c r="K373" s="6">
        <f t="shared" si="26"/>
        <v>0</v>
      </c>
      <c r="L373" s="6">
        <f t="shared" si="27"/>
        <v>0</v>
      </c>
    </row>
    <row r="374" spans="1:12">
      <c r="A374">
        <f t="shared" si="28"/>
        <v>361</v>
      </c>
      <c r="B374" s="136">
        <f>IF(C$5=Data!D$3,'Step 2 Inflow Hydrograph'!H418,IF(C$5=Data!D$4,'Step 2 Inflow Hydrograph'!I418,IF(C$5=Data!D$5,'Step 2 Inflow Hydrograph'!J418,'Step 2 Inflow Hydrograph'!K418)))</f>
        <v>0</v>
      </c>
      <c r="C374" s="127"/>
      <c r="D374" s="6">
        <f t="shared" si="25"/>
        <v>0</v>
      </c>
      <c r="E374" s="6"/>
      <c r="F374" s="6">
        <f t="shared" si="29"/>
        <v>0</v>
      </c>
      <c r="G374" s="149">
        <f>INDEX('Step 4 Stage Discharge'!E$26:F$126,MATCH(F374,'Step 4 Stage Discharge'!E$26:E$126,1),2)+(INDEX('Step 4 Stage Discharge'!E$26:F$126,MATCH(F374,'Step 4 Stage Discharge'!E$26:E$126,1)+1,2)-INDEX('Step 4 Stage Discharge'!E$26:F$126,MATCH(F374,'Step 4 Stage Discharge'!E$26:E$126,1),2))*(F374-INDEX('Step 4 Stage Discharge'!E$26:F$126,MATCH(F374,'Step 4 Stage Discharge'!E$26:E$126,1),1))/(INDEX('Step 4 Stage Discharge'!E$26:F$126,MATCH(F374,'Step 4 Stage Discharge'!E$26:E$126,1)+1,1)-INDEX('Step 4 Stage Discharge'!E$26:F$126,MATCH(F374,'Step 4 Stage Discharge'!E$26:E$126,1),1))</f>
        <v>0</v>
      </c>
      <c r="H374" s="149"/>
      <c r="I374" s="149">
        <f>INDEX('Step 4 Stage Discharge'!E$26:M$126,MATCH(F374,'Step 4 Stage Discharge'!E$26:E$126,1),9)+(INDEX('Step 4 Stage Discharge'!E$26:M$126,MATCH('Step 5 Routing'!F374,'Step 4 Stage Discharge'!E$26:E$126,1)+1,9)-INDEX('Step 4 Stage Discharge'!E$26:M$126,MATCH('Step 5 Routing'!F374,'Step 4 Stage Discharge'!E$26:E$126,1),9))*('Step 5 Routing'!F374-INDEX('Step 4 Stage Discharge'!E$26:M$126,MATCH('Step 5 Routing'!F374,'Step 4 Stage Discharge'!E$26:E$126,1),1))/(INDEX('Step 4 Stage Discharge'!E$26:M$126,MATCH('Step 5 Routing'!F374,'Step 4 Stage Discharge'!E$26:E$126,1)+1,1)-INDEX('Step 4 Stage Discharge'!E$26:M$126,MATCH('Step 5 Routing'!F374,'Step 4 Stage Discharge'!E$26:E$126,1),1))</f>
        <v>4.3639431710317386E-3</v>
      </c>
      <c r="J374" s="149"/>
      <c r="K374" s="6">
        <f t="shared" si="26"/>
        <v>0</v>
      </c>
      <c r="L374" s="6">
        <f t="shared" si="27"/>
        <v>0</v>
      </c>
    </row>
    <row r="375" spans="1:12">
      <c r="A375">
        <f t="shared" si="28"/>
        <v>362</v>
      </c>
      <c r="B375" s="136">
        <f>IF(C$5=Data!D$3,'Step 2 Inflow Hydrograph'!H419,IF(C$5=Data!D$4,'Step 2 Inflow Hydrograph'!I419,IF(C$5=Data!D$5,'Step 2 Inflow Hydrograph'!J419,'Step 2 Inflow Hydrograph'!K419)))</f>
        <v>0</v>
      </c>
      <c r="C375" s="127"/>
      <c r="D375" s="6">
        <f t="shared" si="25"/>
        <v>0</v>
      </c>
      <c r="E375" s="6"/>
      <c r="F375" s="6">
        <f t="shared" si="29"/>
        <v>0</v>
      </c>
      <c r="G375" s="149">
        <f>INDEX('Step 4 Stage Discharge'!E$26:F$126,MATCH(F375,'Step 4 Stage Discharge'!E$26:E$126,1),2)+(INDEX('Step 4 Stage Discharge'!E$26:F$126,MATCH(F375,'Step 4 Stage Discharge'!E$26:E$126,1)+1,2)-INDEX('Step 4 Stage Discharge'!E$26:F$126,MATCH(F375,'Step 4 Stage Discharge'!E$26:E$126,1),2))*(F375-INDEX('Step 4 Stage Discharge'!E$26:F$126,MATCH(F375,'Step 4 Stage Discharge'!E$26:E$126,1),1))/(INDEX('Step 4 Stage Discharge'!E$26:F$126,MATCH(F375,'Step 4 Stage Discharge'!E$26:E$126,1)+1,1)-INDEX('Step 4 Stage Discharge'!E$26:F$126,MATCH(F375,'Step 4 Stage Discharge'!E$26:E$126,1),1))</f>
        <v>0</v>
      </c>
      <c r="H375" s="149"/>
      <c r="I375" s="149">
        <f>INDEX('Step 4 Stage Discharge'!E$26:M$126,MATCH(F375,'Step 4 Stage Discharge'!E$26:E$126,1),9)+(INDEX('Step 4 Stage Discharge'!E$26:M$126,MATCH('Step 5 Routing'!F375,'Step 4 Stage Discharge'!E$26:E$126,1)+1,9)-INDEX('Step 4 Stage Discharge'!E$26:M$126,MATCH('Step 5 Routing'!F375,'Step 4 Stage Discharge'!E$26:E$126,1),9))*('Step 5 Routing'!F375-INDEX('Step 4 Stage Discharge'!E$26:M$126,MATCH('Step 5 Routing'!F375,'Step 4 Stage Discharge'!E$26:E$126,1),1))/(INDEX('Step 4 Stage Discharge'!E$26:M$126,MATCH('Step 5 Routing'!F375,'Step 4 Stage Discharge'!E$26:E$126,1)+1,1)-INDEX('Step 4 Stage Discharge'!E$26:M$126,MATCH('Step 5 Routing'!F375,'Step 4 Stage Discharge'!E$26:E$126,1),1))</f>
        <v>4.3639431710317386E-3</v>
      </c>
      <c r="J375" s="149"/>
      <c r="K375" s="6">
        <f t="shared" si="26"/>
        <v>0</v>
      </c>
      <c r="L375" s="6">
        <f t="shared" si="27"/>
        <v>0</v>
      </c>
    </row>
    <row r="376" spans="1:12">
      <c r="A376">
        <f t="shared" si="28"/>
        <v>363</v>
      </c>
      <c r="B376" s="136">
        <f>IF(C$5=Data!D$3,'Step 2 Inflow Hydrograph'!H420,IF(C$5=Data!D$4,'Step 2 Inflow Hydrograph'!I420,IF(C$5=Data!D$5,'Step 2 Inflow Hydrograph'!J420,'Step 2 Inflow Hydrograph'!K420)))</f>
        <v>0</v>
      </c>
      <c r="C376" s="127"/>
      <c r="D376" s="6">
        <f t="shared" si="25"/>
        <v>0</v>
      </c>
      <c r="E376" s="6"/>
      <c r="F376" s="6">
        <f t="shared" si="29"/>
        <v>0</v>
      </c>
      <c r="G376" s="149">
        <f>INDEX('Step 4 Stage Discharge'!E$26:F$126,MATCH(F376,'Step 4 Stage Discharge'!E$26:E$126,1),2)+(INDEX('Step 4 Stage Discharge'!E$26:F$126,MATCH(F376,'Step 4 Stage Discharge'!E$26:E$126,1)+1,2)-INDEX('Step 4 Stage Discharge'!E$26:F$126,MATCH(F376,'Step 4 Stage Discharge'!E$26:E$126,1),2))*(F376-INDEX('Step 4 Stage Discharge'!E$26:F$126,MATCH(F376,'Step 4 Stage Discharge'!E$26:E$126,1),1))/(INDEX('Step 4 Stage Discharge'!E$26:F$126,MATCH(F376,'Step 4 Stage Discharge'!E$26:E$126,1)+1,1)-INDEX('Step 4 Stage Discharge'!E$26:F$126,MATCH(F376,'Step 4 Stage Discharge'!E$26:E$126,1),1))</f>
        <v>0</v>
      </c>
      <c r="H376" s="149"/>
      <c r="I376" s="149">
        <f>INDEX('Step 4 Stage Discharge'!E$26:M$126,MATCH(F376,'Step 4 Stage Discharge'!E$26:E$126,1),9)+(INDEX('Step 4 Stage Discharge'!E$26:M$126,MATCH('Step 5 Routing'!F376,'Step 4 Stage Discharge'!E$26:E$126,1)+1,9)-INDEX('Step 4 Stage Discharge'!E$26:M$126,MATCH('Step 5 Routing'!F376,'Step 4 Stage Discharge'!E$26:E$126,1),9))*('Step 5 Routing'!F376-INDEX('Step 4 Stage Discharge'!E$26:M$126,MATCH('Step 5 Routing'!F376,'Step 4 Stage Discharge'!E$26:E$126,1),1))/(INDEX('Step 4 Stage Discharge'!E$26:M$126,MATCH('Step 5 Routing'!F376,'Step 4 Stage Discharge'!E$26:E$126,1)+1,1)-INDEX('Step 4 Stage Discharge'!E$26:M$126,MATCH('Step 5 Routing'!F376,'Step 4 Stage Discharge'!E$26:E$126,1),1))</f>
        <v>4.3639431710317386E-3</v>
      </c>
      <c r="J376" s="149"/>
      <c r="K376" s="6">
        <f t="shared" si="26"/>
        <v>0</v>
      </c>
      <c r="L376" s="6">
        <f t="shared" si="27"/>
        <v>0</v>
      </c>
    </row>
    <row r="377" spans="1:12">
      <c r="A377">
        <f t="shared" si="28"/>
        <v>364</v>
      </c>
      <c r="B377" s="136">
        <f>IF(C$5=Data!D$3,'Step 2 Inflow Hydrograph'!H421,IF(C$5=Data!D$4,'Step 2 Inflow Hydrograph'!I421,IF(C$5=Data!D$5,'Step 2 Inflow Hydrograph'!J421,'Step 2 Inflow Hydrograph'!K421)))</f>
        <v>0</v>
      </c>
      <c r="C377" s="127"/>
      <c r="D377" s="6">
        <f t="shared" si="25"/>
        <v>0</v>
      </c>
      <c r="E377" s="6"/>
      <c r="F377" s="6">
        <f t="shared" si="29"/>
        <v>0</v>
      </c>
      <c r="G377" s="149">
        <f>INDEX('Step 4 Stage Discharge'!E$26:F$126,MATCH(F377,'Step 4 Stage Discharge'!E$26:E$126,1),2)+(INDEX('Step 4 Stage Discharge'!E$26:F$126,MATCH(F377,'Step 4 Stage Discharge'!E$26:E$126,1)+1,2)-INDEX('Step 4 Stage Discharge'!E$26:F$126,MATCH(F377,'Step 4 Stage Discharge'!E$26:E$126,1),2))*(F377-INDEX('Step 4 Stage Discharge'!E$26:F$126,MATCH(F377,'Step 4 Stage Discharge'!E$26:E$126,1),1))/(INDEX('Step 4 Stage Discharge'!E$26:F$126,MATCH(F377,'Step 4 Stage Discharge'!E$26:E$126,1)+1,1)-INDEX('Step 4 Stage Discharge'!E$26:F$126,MATCH(F377,'Step 4 Stage Discharge'!E$26:E$126,1),1))</f>
        <v>0</v>
      </c>
      <c r="H377" s="149"/>
      <c r="I377" s="149">
        <f>INDEX('Step 4 Stage Discharge'!E$26:M$126,MATCH(F377,'Step 4 Stage Discharge'!E$26:E$126,1),9)+(INDEX('Step 4 Stage Discharge'!E$26:M$126,MATCH('Step 5 Routing'!F377,'Step 4 Stage Discharge'!E$26:E$126,1)+1,9)-INDEX('Step 4 Stage Discharge'!E$26:M$126,MATCH('Step 5 Routing'!F377,'Step 4 Stage Discharge'!E$26:E$126,1),9))*('Step 5 Routing'!F377-INDEX('Step 4 Stage Discharge'!E$26:M$126,MATCH('Step 5 Routing'!F377,'Step 4 Stage Discharge'!E$26:E$126,1),1))/(INDEX('Step 4 Stage Discharge'!E$26:M$126,MATCH('Step 5 Routing'!F377,'Step 4 Stage Discharge'!E$26:E$126,1)+1,1)-INDEX('Step 4 Stage Discharge'!E$26:M$126,MATCH('Step 5 Routing'!F377,'Step 4 Stage Discharge'!E$26:E$126,1),1))</f>
        <v>4.3639431710317386E-3</v>
      </c>
      <c r="J377" s="149"/>
      <c r="K377" s="6">
        <f t="shared" si="26"/>
        <v>0</v>
      </c>
      <c r="L377" s="6">
        <f t="shared" si="27"/>
        <v>0</v>
      </c>
    </row>
    <row r="378" spans="1:12">
      <c r="A378">
        <f t="shared" si="28"/>
        <v>365</v>
      </c>
      <c r="B378" s="136">
        <f>IF(C$5=Data!D$3,'Step 2 Inflow Hydrograph'!H422,IF(C$5=Data!D$4,'Step 2 Inflow Hydrograph'!I422,IF(C$5=Data!D$5,'Step 2 Inflow Hydrograph'!J422,'Step 2 Inflow Hydrograph'!K422)))</f>
        <v>0</v>
      </c>
      <c r="C378" s="127"/>
      <c r="D378" s="6">
        <f t="shared" si="25"/>
        <v>0</v>
      </c>
      <c r="E378" s="6"/>
      <c r="F378" s="6">
        <f t="shared" si="29"/>
        <v>0</v>
      </c>
      <c r="G378" s="149">
        <f>INDEX('Step 4 Stage Discharge'!E$26:F$126,MATCH(F378,'Step 4 Stage Discharge'!E$26:E$126,1),2)+(INDEX('Step 4 Stage Discharge'!E$26:F$126,MATCH(F378,'Step 4 Stage Discharge'!E$26:E$126,1)+1,2)-INDEX('Step 4 Stage Discharge'!E$26:F$126,MATCH(F378,'Step 4 Stage Discharge'!E$26:E$126,1),2))*(F378-INDEX('Step 4 Stage Discharge'!E$26:F$126,MATCH(F378,'Step 4 Stage Discharge'!E$26:E$126,1),1))/(INDEX('Step 4 Stage Discharge'!E$26:F$126,MATCH(F378,'Step 4 Stage Discharge'!E$26:E$126,1)+1,1)-INDEX('Step 4 Stage Discharge'!E$26:F$126,MATCH(F378,'Step 4 Stage Discharge'!E$26:E$126,1),1))</f>
        <v>0</v>
      </c>
      <c r="H378" s="149"/>
      <c r="I378" s="149">
        <f>INDEX('Step 4 Stage Discharge'!E$26:M$126,MATCH(F378,'Step 4 Stage Discharge'!E$26:E$126,1),9)+(INDEX('Step 4 Stage Discharge'!E$26:M$126,MATCH('Step 5 Routing'!F378,'Step 4 Stage Discharge'!E$26:E$126,1)+1,9)-INDEX('Step 4 Stage Discharge'!E$26:M$126,MATCH('Step 5 Routing'!F378,'Step 4 Stage Discharge'!E$26:E$126,1),9))*('Step 5 Routing'!F378-INDEX('Step 4 Stage Discharge'!E$26:M$126,MATCH('Step 5 Routing'!F378,'Step 4 Stage Discharge'!E$26:E$126,1),1))/(INDEX('Step 4 Stage Discharge'!E$26:M$126,MATCH('Step 5 Routing'!F378,'Step 4 Stage Discharge'!E$26:E$126,1)+1,1)-INDEX('Step 4 Stage Discharge'!E$26:M$126,MATCH('Step 5 Routing'!F378,'Step 4 Stage Discharge'!E$26:E$126,1),1))</f>
        <v>4.3639431710317386E-3</v>
      </c>
      <c r="J378" s="149"/>
      <c r="K378" s="6">
        <f t="shared" si="26"/>
        <v>0</v>
      </c>
      <c r="L378" s="6">
        <f t="shared" si="27"/>
        <v>0</v>
      </c>
    </row>
    <row r="379" spans="1:12">
      <c r="A379">
        <f t="shared" si="28"/>
        <v>366</v>
      </c>
      <c r="B379" s="136">
        <f>IF(C$5=Data!D$3,'Step 2 Inflow Hydrograph'!H423,IF(C$5=Data!D$4,'Step 2 Inflow Hydrograph'!I423,IF(C$5=Data!D$5,'Step 2 Inflow Hydrograph'!J423,'Step 2 Inflow Hydrograph'!K423)))</f>
        <v>0</v>
      </c>
      <c r="C379" s="127"/>
      <c r="D379" s="6">
        <f t="shared" si="25"/>
        <v>0</v>
      </c>
      <c r="E379" s="6"/>
      <c r="F379" s="6">
        <f t="shared" si="29"/>
        <v>0</v>
      </c>
      <c r="G379" s="149">
        <f>INDEX('Step 4 Stage Discharge'!E$26:F$126,MATCH(F379,'Step 4 Stage Discharge'!E$26:E$126,1),2)+(INDEX('Step 4 Stage Discharge'!E$26:F$126,MATCH(F379,'Step 4 Stage Discharge'!E$26:E$126,1)+1,2)-INDEX('Step 4 Stage Discharge'!E$26:F$126,MATCH(F379,'Step 4 Stage Discharge'!E$26:E$126,1),2))*(F379-INDEX('Step 4 Stage Discharge'!E$26:F$126,MATCH(F379,'Step 4 Stage Discharge'!E$26:E$126,1),1))/(INDEX('Step 4 Stage Discharge'!E$26:F$126,MATCH(F379,'Step 4 Stage Discharge'!E$26:E$126,1)+1,1)-INDEX('Step 4 Stage Discharge'!E$26:F$126,MATCH(F379,'Step 4 Stage Discharge'!E$26:E$126,1),1))</f>
        <v>0</v>
      </c>
      <c r="H379" s="149"/>
      <c r="I379" s="149">
        <f>INDEX('Step 4 Stage Discharge'!E$26:M$126,MATCH(F379,'Step 4 Stage Discharge'!E$26:E$126,1),9)+(INDEX('Step 4 Stage Discharge'!E$26:M$126,MATCH('Step 5 Routing'!F379,'Step 4 Stage Discharge'!E$26:E$126,1)+1,9)-INDEX('Step 4 Stage Discharge'!E$26:M$126,MATCH('Step 5 Routing'!F379,'Step 4 Stage Discharge'!E$26:E$126,1),9))*('Step 5 Routing'!F379-INDEX('Step 4 Stage Discharge'!E$26:M$126,MATCH('Step 5 Routing'!F379,'Step 4 Stage Discharge'!E$26:E$126,1),1))/(INDEX('Step 4 Stage Discharge'!E$26:M$126,MATCH('Step 5 Routing'!F379,'Step 4 Stage Discharge'!E$26:E$126,1)+1,1)-INDEX('Step 4 Stage Discharge'!E$26:M$126,MATCH('Step 5 Routing'!F379,'Step 4 Stage Discharge'!E$26:E$126,1),1))</f>
        <v>4.3639431710317386E-3</v>
      </c>
      <c r="J379" s="149"/>
      <c r="K379" s="6">
        <f t="shared" si="26"/>
        <v>0</v>
      </c>
      <c r="L379" s="6">
        <f t="shared" si="27"/>
        <v>0</v>
      </c>
    </row>
    <row r="380" spans="1:12">
      <c r="A380">
        <f t="shared" si="28"/>
        <v>367</v>
      </c>
      <c r="B380" s="136">
        <f>IF(C$5=Data!D$3,'Step 2 Inflow Hydrograph'!H424,IF(C$5=Data!D$4,'Step 2 Inflow Hydrograph'!I424,IF(C$5=Data!D$5,'Step 2 Inflow Hydrograph'!J424,'Step 2 Inflow Hydrograph'!K424)))</f>
        <v>0</v>
      </c>
      <c r="C380" s="127"/>
      <c r="D380" s="6">
        <f t="shared" si="25"/>
        <v>0</v>
      </c>
      <c r="E380" s="6"/>
      <c r="F380" s="6">
        <f t="shared" si="29"/>
        <v>0</v>
      </c>
      <c r="G380" s="149">
        <f>INDEX('Step 4 Stage Discharge'!E$26:F$126,MATCH(F380,'Step 4 Stage Discharge'!E$26:E$126,1),2)+(INDEX('Step 4 Stage Discharge'!E$26:F$126,MATCH(F380,'Step 4 Stage Discharge'!E$26:E$126,1)+1,2)-INDEX('Step 4 Stage Discharge'!E$26:F$126,MATCH(F380,'Step 4 Stage Discharge'!E$26:E$126,1),2))*(F380-INDEX('Step 4 Stage Discharge'!E$26:F$126,MATCH(F380,'Step 4 Stage Discharge'!E$26:E$126,1),1))/(INDEX('Step 4 Stage Discharge'!E$26:F$126,MATCH(F380,'Step 4 Stage Discharge'!E$26:E$126,1)+1,1)-INDEX('Step 4 Stage Discharge'!E$26:F$126,MATCH(F380,'Step 4 Stage Discharge'!E$26:E$126,1),1))</f>
        <v>0</v>
      </c>
      <c r="H380" s="149"/>
      <c r="I380" s="149">
        <f>INDEX('Step 4 Stage Discharge'!E$26:M$126,MATCH(F380,'Step 4 Stage Discharge'!E$26:E$126,1),9)+(INDEX('Step 4 Stage Discharge'!E$26:M$126,MATCH('Step 5 Routing'!F380,'Step 4 Stage Discharge'!E$26:E$126,1)+1,9)-INDEX('Step 4 Stage Discharge'!E$26:M$126,MATCH('Step 5 Routing'!F380,'Step 4 Stage Discharge'!E$26:E$126,1),9))*('Step 5 Routing'!F380-INDEX('Step 4 Stage Discharge'!E$26:M$126,MATCH('Step 5 Routing'!F380,'Step 4 Stage Discharge'!E$26:E$126,1),1))/(INDEX('Step 4 Stage Discharge'!E$26:M$126,MATCH('Step 5 Routing'!F380,'Step 4 Stage Discharge'!E$26:E$126,1)+1,1)-INDEX('Step 4 Stage Discharge'!E$26:M$126,MATCH('Step 5 Routing'!F380,'Step 4 Stage Discharge'!E$26:E$126,1),1))</f>
        <v>4.3639431710317386E-3</v>
      </c>
      <c r="J380" s="149"/>
      <c r="K380" s="6">
        <f t="shared" si="26"/>
        <v>0</v>
      </c>
      <c r="L380" s="6">
        <f t="shared" si="27"/>
        <v>0</v>
      </c>
    </row>
    <row r="381" spans="1:12">
      <c r="A381">
        <f t="shared" si="28"/>
        <v>368</v>
      </c>
      <c r="B381" s="136">
        <f>IF(C$5=Data!D$3,'Step 2 Inflow Hydrograph'!H425,IF(C$5=Data!D$4,'Step 2 Inflow Hydrograph'!I425,IF(C$5=Data!D$5,'Step 2 Inflow Hydrograph'!J425,'Step 2 Inflow Hydrograph'!K425)))</f>
        <v>0</v>
      </c>
      <c r="C381" s="127"/>
      <c r="D381" s="6">
        <f t="shared" si="25"/>
        <v>0</v>
      </c>
      <c r="E381" s="6"/>
      <c r="F381" s="6">
        <f t="shared" si="29"/>
        <v>0</v>
      </c>
      <c r="G381" s="149">
        <f>INDEX('Step 4 Stage Discharge'!E$26:F$126,MATCH(F381,'Step 4 Stage Discharge'!E$26:E$126,1),2)+(INDEX('Step 4 Stage Discharge'!E$26:F$126,MATCH(F381,'Step 4 Stage Discharge'!E$26:E$126,1)+1,2)-INDEX('Step 4 Stage Discharge'!E$26:F$126,MATCH(F381,'Step 4 Stage Discharge'!E$26:E$126,1),2))*(F381-INDEX('Step 4 Stage Discharge'!E$26:F$126,MATCH(F381,'Step 4 Stage Discharge'!E$26:E$126,1),1))/(INDEX('Step 4 Stage Discharge'!E$26:F$126,MATCH(F381,'Step 4 Stage Discharge'!E$26:E$126,1)+1,1)-INDEX('Step 4 Stage Discharge'!E$26:F$126,MATCH(F381,'Step 4 Stage Discharge'!E$26:E$126,1),1))</f>
        <v>0</v>
      </c>
      <c r="H381" s="149"/>
      <c r="I381" s="149">
        <f>INDEX('Step 4 Stage Discharge'!E$26:M$126,MATCH(F381,'Step 4 Stage Discharge'!E$26:E$126,1),9)+(INDEX('Step 4 Stage Discharge'!E$26:M$126,MATCH('Step 5 Routing'!F381,'Step 4 Stage Discharge'!E$26:E$126,1)+1,9)-INDEX('Step 4 Stage Discharge'!E$26:M$126,MATCH('Step 5 Routing'!F381,'Step 4 Stage Discharge'!E$26:E$126,1),9))*('Step 5 Routing'!F381-INDEX('Step 4 Stage Discharge'!E$26:M$126,MATCH('Step 5 Routing'!F381,'Step 4 Stage Discharge'!E$26:E$126,1),1))/(INDEX('Step 4 Stage Discharge'!E$26:M$126,MATCH('Step 5 Routing'!F381,'Step 4 Stage Discharge'!E$26:E$126,1)+1,1)-INDEX('Step 4 Stage Discharge'!E$26:M$126,MATCH('Step 5 Routing'!F381,'Step 4 Stage Discharge'!E$26:E$126,1),1))</f>
        <v>4.3639431710317386E-3</v>
      </c>
      <c r="J381" s="149"/>
      <c r="K381" s="6">
        <f t="shared" si="26"/>
        <v>0</v>
      </c>
      <c r="L381" s="6">
        <f t="shared" si="27"/>
        <v>0</v>
      </c>
    </row>
    <row r="382" spans="1:12">
      <c r="A382">
        <f t="shared" si="28"/>
        <v>369</v>
      </c>
      <c r="B382" s="136">
        <f>IF(C$5=Data!D$3,'Step 2 Inflow Hydrograph'!H426,IF(C$5=Data!D$4,'Step 2 Inflow Hydrograph'!I426,IF(C$5=Data!D$5,'Step 2 Inflow Hydrograph'!J426,'Step 2 Inflow Hydrograph'!K426)))</f>
        <v>0</v>
      </c>
      <c r="C382" s="127"/>
      <c r="D382" s="6">
        <f t="shared" si="25"/>
        <v>0</v>
      </c>
      <c r="E382" s="6"/>
      <c r="F382" s="6">
        <f t="shared" si="29"/>
        <v>0</v>
      </c>
      <c r="G382" s="149">
        <f>INDEX('Step 4 Stage Discharge'!E$26:F$126,MATCH(F382,'Step 4 Stage Discharge'!E$26:E$126,1),2)+(INDEX('Step 4 Stage Discharge'!E$26:F$126,MATCH(F382,'Step 4 Stage Discharge'!E$26:E$126,1)+1,2)-INDEX('Step 4 Stage Discharge'!E$26:F$126,MATCH(F382,'Step 4 Stage Discharge'!E$26:E$126,1),2))*(F382-INDEX('Step 4 Stage Discharge'!E$26:F$126,MATCH(F382,'Step 4 Stage Discharge'!E$26:E$126,1),1))/(INDEX('Step 4 Stage Discharge'!E$26:F$126,MATCH(F382,'Step 4 Stage Discharge'!E$26:E$126,1)+1,1)-INDEX('Step 4 Stage Discharge'!E$26:F$126,MATCH(F382,'Step 4 Stage Discharge'!E$26:E$126,1),1))</f>
        <v>0</v>
      </c>
      <c r="H382" s="149"/>
      <c r="I382" s="149">
        <f>INDEX('Step 4 Stage Discharge'!E$26:M$126,MATCH(F382,'Step 4 Stage Discharge'!E$26:E$126,1),9)+(INDEX('Step 4 Stage Discharge'!E$26:M$126,MATCH('Step 5 Routing'!F382,'Step 4 Stage Discharge'!E$26:E$126,1)+1,9)-INDEX('Step 4 Stage Discharge'!E$26:M$126,MATCH('Step 5 Routing'!F382,'Step 4 Stage Discharge'!E$26:E$126,1),9))*('Step 5 Routing'!F382-INDEX('Step 4 Stage Discharge'!E$26:M$126,MATCH('Step 5 Routing'!F382,'Step 4 Stage Discharge'!E$26:E$126,1),1))/(INDEX('Step 4 Stage Discharge'!E$26:M$126,MATCH('Step 5 Routing'!F382,'Step 4 Stage Discharge'!E$26:E$126,1)+1,1)-INDEX('Step 4 Stage Discharge'!E$26:M$126,MATCH('Step 5 Routing'!F382,'Step 4 Stage Discharge'!E$26:E$126,1),1))</f>
        <v>4.3639431710317386E-3</v>
      </c>
      <c r="J382" s="149"/>
      <c r="K382" s="6">
        <f t="shared" si="26"/>
        <v>0</v>
      </c>
      <c r="L382" s="6">
        <f t="shared" si="27"/>
        <v>0</v>
      </c>
    </row>
    <row r="383" spans="1:12">
      <c r="A383">
        <f t="shared" si="28"/>
        <v>370</v>
      </c>
      <c r="B383" s="136">
        <f>IF(C$5=Data!D$3,'Step 2 Inflow Hydrograph'!H427,IF(C$5=Data!D$4,'Step 2 Inflow Hydrograph'!I427,IF(C$5=Data!D$5,'Step 2 Inflow Hydrograph'!J427,'Step 2 Inflow Hydrograph'!K427)))</f>
        <v>0</v>
      </c>
      <c r="C383" s="127"/>
      <c r="D383" s="6">
        <f t="shared" si="25"/>
        <v>0</v>
      </c>
      <c r="E383" s="6"/>
      <c r="F383" s="6">
        <f t="shared" si="29"/>
        <v>0</v>
      </c>
      <c r="G383" s="149">
        <f>INDEX('Step 4 Stage Discharge'!E$26:F$126,MATCH(F383,'Step 4 Stage Discharge'!E$26:E$126,1),2)+(INDEX('Step 4 Stage Discharge'!E$26:F$126,MATCH(F383,'Step 4 Stage Discharge'!E$26:E$126,1)+1,2)-INDEX('Step 4 Stage Discharge'!E$26:F$126,MATCH(F383,'Step 4 Stage Discharge'!E$26:E$126,1),2))*(F383-INDEX('Step 4 Stage Discharge'!E$26:F$126,MATCH(F383,'Step 4 Stage Discharge'!E$26:E$126,1),1))/(INDEX('Step 4 Stage Discharge'!E$26:F$126,MATCH(F383,'Step 4 Stage Discharge'!E$26:E$126,1)+1,1)-INDEX('Step 4 Stage Discharge'!E$26:F$126,MATCH(F383,'Step 4 Stage Discharge'!E$26:E$126,1),1))</f>
        <v>0</v>
      </c>
      <c r="H383" s="149"/>
      <c r="I383" s="149">
        <f>INDEX('Step 4 Stage Discharge'!E$26:M$126,MATCH(F383,'Step 4 Stage Discharge'!E$26:E$126,1),9)+(INDEX('Step 4 Stage Discharge'!E$26:M$126,MATCH('Step 5 Routing'!F383,'Step 4 Stage Discharge'!E$26:E$126,1)+1,9)-INDEX('Step 4 Stage Discharge'!E$26:M$126,MATCH('Step 5 Routing'!F383,'Step 4 Stage Discharge'!E$26:E$126,1),9))*('Step 5 Routing'!F383-INDEX('Step 4 Stage Discharge'!E$26:M$126,MATCH('Step 5 Routing'!F383,'Step 4 Stage Discharge'!E$26:E$126,1),1))/(INDEX('Step 4 Stage Discharge'!E$26:M$126,MATCH('Step 5 Routing'!F383,'Step 4 Stage Discharge'!E$26:E$126,1)+1,1)-INDEX('Step 4 Stage Discharge'!E$26:M$126,MATCH('Step 5 Routing'!F383,'Step 4 Stage Discharge'!E$26:E$126,1),1))</f>
        <v>4.3639431710317386E-3</v>
      </c>
      <c r="J383" s="149"/>
      <c r="K383" s="6">
        <f t="shared" si="26"/>
        <v>0</v>
      </c>
      <c r="L383" s="6">
        <f t="shared" si="27"/>
        <v>0</v>
      </c>
    </row>
    <row r="384" spans="1:12">
      <c r="A384">
        <f t="shared" si="28"/>
        <v>371</v>
      </c>
      <c r="B384" s="136">
        <f>IF(C$5=Data!D$3,'Step 2 Inflow Hydrograph'!H428,IF(C$5=Data!D$4,'Step 2 Inflow Hydrograph'!I428,IF(C$5=Data!D$5,'Step 2 Inflow Hydrograph'!J428,'Step 2 Inflow Hydrograph'!K428)))</f>
        <v>0</v>
      </c>
      <c r="C384" s="127"/>
      <c r="D384" s="6">
        <f t="shared" si="25"/>
        <v>0</v>
      </c>
      <c r="E384" s="6"/>
      <c r="F384" s="6">
        <f t="shared" si="29"/>
        <v>0</v>
      </c>
      <c r="G384" s="149">
        <f>INDEX('Step 4 Stage Discharge'!E$26:F$126,MATCH(F384,'Step 4 Stage Discharge'!E$26:E$126,1),2)+(INDEX('Step 4 Stage Discharge'!E$26:F$126,MATCH(F384,'Step 4 Stage Discharge'!E$26:E$126,1)+1,2)-INDEX('Step 4 Stage Discharge'!E$26:F$126,MATCH(F384,'Step 4 Stage Discharge'!E$26:E$126,1),2))*(F384-INDEX('Step 4 Stage Discharge'!E$26:F$126,MATCH(F384,'Step 4 Stage Discharge'!E$26:E$126,1),1))/(INDEX('Step 4 Stage Discharge'!E$26:F$126,MATCH(F384,'Step 4 Stage Discharge'!E$26:E$126,1)+1,1)-INDEX('Step 4 Stage Discharge'!E$26:F$126,MATCH(F384,'Step 4 Stage Discharge'!E$26:E$126,1),1))</f>
        <v>0</v>
      </c>
      <c r="H384" s="149"/>
      <c r="I384" s="149">
        <f>INDEX('Step 4 Stage Discharge'!E$26:M$126,MATCH(F384,'Step 4 Stage Discharge'!E$26:E$126,1),9)+(INDEX('Step 4 Stage Discharge'!E$26:M$126,MATCH('Step 5 Routing'!F384,'Step 4 Stage Discharge'!E$26:E$126,1)+1,9)-INDEX('Step 4 Stage Discharge'!E$26:M$126,MATCH('Step 5 Routing'!F384,'Step 4 Stage Discharge'!E$26:E$126,1),9))*('Step 5 Routing'!F384-INDEX('Step 4 Stage Discharge'!E$26:M$126,MATCH('Step 5 Routing'!F384,'Step 4 Stage Discharge'!E$26:E$126,1),1))/(INDEX('Step 4 Stage Discharge'!E$26:M$126,MATCH('Step 5 Routing'!F384,'Step 4 Stage Discharge'!E$26:E$126,1)+1,1)-INDEX('Step 4 Stage Discharge'!E$26:M$126,MATCH('Step 5 Routing'!F384,'Step 4 Stage Discharge'!E$26:E$126,1),1))</f>
        <v>4.3639431710317386E-3</v>
      </c>
      <c r="J384" s="149"/>
      <c r="K384" s="6">
        <f t="shared" si="26"/>
        <v>0</v>
      </c>
      <c r="L384" s="6">
        <f t="shared" si="27"/>
        <v>0</v>
      </c>
    </row>
    <row r="385" spans="1:12">
      <c r="A385">
        <f t="shared" si="28"/>
        <v>372</v>
      </c>
      <c r="B385" s="136">
        <f>IF(C$5=Data!D$3,'Step 2 Inflow Hydrograph'!H429,IF(C$5=Data!D$4,'Step 2 Inflow Hydrograph'!I429,IF(C$5=Data!D$5,'Step 2 Inflow Hydrograph'!J429,'Step 2 Inflow Hydrograph'!K429)))</f>
        <v>0</v>
      </c>
      <c r="C385" s="127"/>
      <c r="D385" s="6">
        <f t="shared" si="25"/>
        <v>0</v>
      </c>
      <c r="E385" s="6"/>
      <c r="F385" s="6">
        <f t="shared" si="29"/>
        <v>0</v>
      </c>
      <c r="G385" s="149">
        <f>INDEX('Step 4 Stage Discharge'!E$26:F$126,MATCH(F385,'Step 4 Stage Discharge'!E$26:E$126,1),2)+(INDEX('Step 4 Stage Discharge'!E$26:F$126,MATCH(F385,'Step 4 Stage Discharge'!E$26:E$126,1)+1,2)-INDEX('Step 4 Stage Discharge'!E$26:F$126,MATCH(F385,'Step 4 Stage Discharge'!E$26:E$126,1),2))*(F385-INDEX('Step 4 Stage Discharge'!E$26:F$126,MATCH(F385,'Step 4 Stage Discharge'!E$26:E$126,1),1))/(INDEX('Step 4 Stage Discharge'!E$26:F$126,MATCH(F385,'Step 4 Stage Discharge'!E$26:E$126,1)+1,1)-INDEX('Step 4 Stage Discharge'!E$26:F$126,MATCH(F385,'Step 4 Stage Discharge'!E$26:E$126,1),1))</f>
        <v>0</v>
      </c>
      <c r="H385" s="149"/>
      <c r="I385" s="149">
        <f>INDEX('Step 4 Stage Discharge'!E$26:M$126,MATCH(F385,'Step 4 Stage Discharge'!E$26:E$126,1),9)+(INDEX('Step 4 Stage Discharge'!E$26:M$126,MATCH('Step 5 Routing'!F385,'Step 4 Stage Discharge'!E$26:E$126,1)+1,9)-INDEX('Step 4 Stage Discharge'!E$26:M$126,MATCH('Step 5 Routing'!F385,'Step 4 Stage Discharge'!E$26:E$126,1),9))*('Step 5 Routing'!F385-INDEX('Step 4 Stage Discharge'!E$26:M$126,MATCH('Step 5 Routing'!F385,'Step 4 Stage Discharge'!E$26:E$126,1),1))/(INDEX('Step 4 Stage Discharge'!E$26:M$126,MATCH('Step 5 Routing'!F385,'Step 4 Stage Discharge'!E$26:E$126,1)+1,1)-INDEX('Step 4 Stage Discharge'!E$26:M$126,MATCH('Step 5 Routing'!F385,'Step 4 Stage Discharge'!E$26:E$126,1),1))</f>
        <v>4.3639431710317386E-3</v>
      </c>
      <c r="J385" s="149"/>
      <c r="K385" s="6">
        <f t="shared" si="26"/>
        <v>0</v>
      </c>
      <c r="L385" s="6">
        <f t="shared" si="27"/>
        <v>0</v>
      </c>
    </row>
    <row r="386" spans="1:12">
      <c r="A386">
        <f t="shared" si="28"/>
        <v>373</v>
      </c>
      <c r="B386" s="136">
        <f>IF(C$5=Data!D$3,'Step 2 Inflow Hydrograph'!H430,IF(C$5=Data!D$4,'Step 2 Inflow Hydrograph'!I430,IF(C$5=Data!D$5,'Step 2 Inflow Hydrograph'!J430,'Step 2 Inflow Hydrograph'!K430)))</f>
        <v>0</v>
      </c>
      <c r="C386" s="127"/>
      <c r="D386" s="6">
        <f t="shared" si="25"/>
        <v>0</v>
      </c>
      <c r="E386" s="6"/>
      <c r="F386" s="6">
        <f t="shared" si="29"/>
        <v>0</v>
      </c>
      <c r="G386" s="149">
        <f>INDEX('Step 4 Stage Discharge'!E$26:F$126,MATCH(F386,'Step 4 Stage Discharge'!E$26:E$126,1),2)+(INDEX('Step 4 Stage Discharge'!E$26:F$126,MATCH(F386,'Step 4 Stage Discharge'!E$26:E$126,1)+1,2)-INDEX('Step 4 Stage Discharge'!E$26:F$126,MATCH(F386,'Step 4 Stage Discharge'!E$26:E$126,1),2))*(F386-INDEX('Step 4 Stage Discharge'!E$26:F$126,MATCH(F386,'Step 4 Stage Discharge'!E$26:E$126,1),1))/(INDEX('Step 4 Stage Discharge'!E$26:F$126,MATCH(F386,'Step 4 Stage Discharge'!E$26:E$126,1)+1,1)-INDEX('Step 4 Stage Discharge'!E$26:F$126,MATCH(F386,'Step 4 Stage Discharge'!E$26:E$126,1),1))</f>
        <v>0</v>
      </c>
      <c r="H386" s="149"/>
      <c r="I386" s="149">
        <f>INDEX('Step 4 Stage Discharge'!E$26:M$126,MATCH(F386,'Step 4 Stage Discharge'!E$26:E$126,1),9)+(INDEX('Step 4 Stage Discharge'!E$26:M$126,MATCH('Step 5 Routing'!F386,'Step 4 Stage Discharge'!E$26:E$126,1)+1,9)-INDEX('Step 4 Stage Discharge'!E$26:M$126,MATCH('Step 5 Routing'!F386,'Step 4 Stage Discharge'!E$26:E$126,1),9))*('Step 5 Routing'!F386-INDEX('Step 4 Stage Discharge'!E$26:M$126,MATCH('Step 5 Routing'!F386,'Step 4 Stage Discharge'!E$26:E$126,1),1))/(INDEX('Step 4 Stage Discharge'!E$26:M$126,MATCH('Step 5 Routing'!F386,'Step 4 Stage Discharge'!E$26:E$126,1)+1,1)-INDEX('Step 4 Stage Discharge'!E$26:M$126,MATCH('Step 5 Routing'!F386,'Step 4 Stage Discharge'!E$26:E$126,1),1))</f>
        <v>4.3639431710317386E-3</v>
      </c>
      <c r="J386" s="149"/>
      <c r="K386" s="6">
        <f t="shared" si="26"/>
        <v>0</v>
      </c>
      <c r="L386" s="6">
        <f t="shared" si="27"/>
        <v>0</v>
      </c>
    </row>
    <row r="387" spans="1:12">
      <c r="A387">
        <f t="shared" si="28"/>
        <v>374</v>
      </c>
      <c r="B387" s="136">
        <f>IF(C$5=Data!D$3,'Step 2 Inflow Hydrograph'!H431,IF(C$5=Data!D$4,'Step 2 Inflow Hydrograph'!I431,IF(C$5=Data!D$5,'Step 2 Inflow Hydrograph'!J431,'Step 2 Inflow Hydrograph'!K431)))</f>
        <v>0</v>
      </c>
      <c r="C387" s="127"/>
      <c r="D387" s="6">
        <f t="shared" si="25"/>
        <v>0</v>
      </c>
      <c r="E387" s="6"/>
      <c r="F387" s="6">
        <f t="shared" si="29"/>
        <v>0</v>
      </c>
      <c r="G387" s="149">
        <f>INDEX('Step 4 Stage Discharge'!E$26:F$126,MATCH(F387,'Step 4 Stage Discharge'!E$26:E$126,1),2)+(INDEX('Step 4 Stage Discharge'!E$26:F$126,MATCH(F387,'Step 4 Stage Discharge'!E$26:E$126,1)+1,2)-INDEX('Step 4 Stage Discharge'!E$26:F$126,MATCH(F387,'Step 4 Stage Discharge'!E$26:E$126,1),2))*(F387-INDEX('Step 4 Stage Discharge'!E$26:F$126,MATCH(F387,'Step 4 Stage Discharge'!E$26:E$126,1),1))/(INDEX('Step 4 Stage Discharge'!E$26:F$126,MATCH(F387,'Step 4 Stage Discharge'!E$26:E$126,1)+1,1)-INDEX('Step 4 Stage Discharge'!E$26:F$126,MATCH(F387,'Step 4 Stage Discharge'!E$26:E$126,1),1))</f>
        <v>0</v>
      </c>
      <c r="H387" s="149"/>
      <c r="I387" s="149">
        <f>INDEX('Step 4 Stage Discharge'!E$26:M$126,MATCH(F387,'Step 4 Stage Discharge'!E$26:E$126,1),9)+(INDEX('Step 4 Stage Discharge'!E$26:M$126,MATCH('Step 5 Routing'!F387,'Step 4 Stage Discharge'!E$26:E$126,1)+1,9)-INDEX('Step 4 Stage Discharge'!E$26:M$126,MATCH('Step 5 Routing'!F387,'Step 4 Stage Discharge'!E$26:E$126,1),9))*('Step 5 Routing'!F387-INDEX('Step 4 Stage Discharge'!E$26:M$126,MATCH('Step 5 Routing'!F387,'Step 4 Stage Discharge'!E$26:E$126,1),1))/(INDEX('Step 4 Stage Discharge'!E$26:M$126,MATCH('Step 5 Routing'!F387,'Step 4 Stage Discharge'!E$26:E$126,1)+1,1)-INDEX('Step 4 Stage Discharge'!E$26:M$126,MATCH('Step 5 Routing'!F387,'Step 4 Stage Discharge'!E$26:E$126,1),1))</f>
        <v>4.3639431710317386E-3</v>
      </c>
      <c r="J387" s="149"/>
      <c r="K387" s="6">
        <f t="shared" si="26"/>
        <v>0</v>
      </c>
      <c r="L387" s="6">
        <f t="shared" si="27"/>
        <v>0</v>
      </c>
    </row>
    <row r="388" spans="1:12">
      <c r="A388">
        <f t="shared" si="28"/>
        <v>375</v>
      </c>
      <c r="B388" s="136">
        <f>IF(C$5=Data!D$3,'Step 2 Inflow Hydrograph'!H432,IF(C$5=Data!D$4,'Step 2 Inflow Hydrograph'!I432,IF(C$5=Data!D$5,'Step 2 Inflow Hydrograph'!J432,'Step 2 Inflow Hydrograph'!K432)))</f>
        <v>0</v>
      </c>
      <c r="C388" s="127"/>
      <c r="D388" s="6">
        <f t="shared" si="25"/>
        <v>0</v>
      </c>
      <c r="E388" s="6"/>
      <c r="F388" s="6">
        <f t="shared" si="29"/>
        <v>0</v>
      </c>
      <c r="G388" s="149">
        <f>INDEX('Step 4 Stage Discharge'!E$26:F$126,MATCH(F388,'Step 4 Stage Discharge'!E$26:E$126,1),2)+(INDEX('Step 4 Stage Discharge'!E$26:F$126,MATCH(F388,'Step 4 Stage Discharge'!E$26:E$126,1)+1,2)-INDEX('Step 4 Stage Discharge'!E$26:F$126,MATCH(F388,'Step 4 Stage Discharge'!E$26:E$126,1),2))*(F388-INDEX('Step 4 Stage Discharge'!E$26:F$126,MATCH(F388,'Step 4 Stage Discharge'!E$26:E$126,1),1))/(INDEX('Step 4 Stage Discharge'!E$26:F$126,MATCH(F388,'Step 4 Stage Discharge'!E$26:E$126,1)+1,1)-INDEX('Step 4 Stage Discharge'!E$26:F$126,MATCH(F388,'Step 4 Stage Discharge'!E$26:E$126,1),1))</f>
        <v>0</v>
      </c>
      <c r="H388" s="149"/>
      <c r="I388" s="149">
        <f>INDEX('Step 4 Stage Discharge'!E$26:M$126,MATCH(F388,'Step 4 Stage Discharge'!E$26:E$126,1),9)+(INDEX('Step 4 Stage Discharge'!E$26:M$126,MATCH('Step 5 Routing'!F388,'Step 4 Stage Discharge'!E$26:E$126,1)+1,9)-INDEX('Step 4 Stage Discharge'!E$26:M$126,MATCH('Step 5 Routing'!F388,'Step 4 Stage Discharge'!E$26:E$126,1),9))*('Step 5 Routing'!F388-INDEX('Step 4 Stage Discharge'!E$26:M$126,MATCH('Step 5 Routing'!F388,'Step 4 Stage Discharge'!E$26:E$126,1),1))/(INDEX('Step 4 Stage Discharge'!E$26:M$126,MATCH('Step 5 Routing'!F388,'Step 4 Stage Discharge'!E$26:E$126,1)+1,1)-INDEX('Step 4 Stage Discharge'!E$26:M$126,MATCH('Step 5 Routing'!F388,'Step 4 Stage Discharge'!E$26:E$126,1),1))</f>
        <v>4.3639431710317386E-3</v>
      </c>
      <c r="J388" s="149"/>
      <c r="K388" s="6">
        <f t="shared" si="26"/>
        <v>0</v>
      </c>
      <c r="L388" s="6">
        <f t="shared" si="27"/>
        <v>0</v>
      </c>
    </row>
    <row r="389" spans="1:12">
      <c r="A389">
        <f t="shared" si="28"/>
        <v>376</v>
      </c>
      <c r="B389" s="136">
        <f>IF(C$5=Data!D$3,'Step 2 Inflow Hydrograph'!H433,IF(C$5=Data!D$4,'Step 2 Inflow Hydrograph'!I433,IF(C$5=Data!D$5,'Step 2 Inflow Hydrograph'!J433,'Step 2 Inflow Hydrograph'!K433)))</f>
        <v>0</v>
      </c>
      <c r="C389" s="127"/>
      <c r="D389" s="6">
        <f t="shared" si="25"/>
        <v>0</v>
      </c>
      <c r="E389" s="6"/>
      <c r="F389" s="6">
        <f t="shared" si="29"/>
        <v>0</v>
      </c>
      <c r="G389" s="149">
        <f>INDEX('Step 4 Stage Discharge'!E$26:F$126,MATCH(F389,'Step 4 Stage Discharge'!E$26:E$126,1),2)+(INDEX('Step 4 Stage Discharge'!E$26:F$126,MATCH(F389,'Step 4 Stage Discharge'!E$26:E$126,1)+1,2)-INDEX('Step 4 Stage Discharge'!E$26:F$126,MATCH(F389,'Step 4 Stage Discharge'!E$26:E$126,1),2))*(F389-INDEX('Step 4 Stage Discharge'!E$26:F$126,MATCH(F389,'Step 4 Stage Discharge'!E$26:E$126,1),1))/(INDEX('Step 4 Stage Discharge'!E$26:F$126,MATCH(F389,'Step 4 Stage Discharge'!E$26:E$126,1)+1,1)-INDEX('Step 4 Stage Discharge'!E$26:F$126,MATCH(F389,'Step 4 Stage Discharge'!E$26:E$126,1),1))</f>
        <v>0</v>
      </c>
      <c r="H389" s="149"/>
      <c r="I389" s="149">
        <f>INDEX('Step 4 Stage Discharge'!E$26:M$126,MATCH(F389,'Step 4 Stage Discharge'!E$26:E$126,1),9)+(INDEX('Step 4 Stage Discharge'!E$26:M$126,MATCH('Step 5 Routing'!F389,'Step 4 Stage Discharge'!E$26:E$126,1)+1,9)-INDEX('Step 4 Stage Discharge'!E$26:M$126,MATCH('Step 5 Routing'!F389,'Step 4 Stage Discharge'!E$26:E$126,1),9))*('Step 5 Routing'!F389-INDEX('Step 4 Stage Discharge'!E$26:M$126,MATCH('Step 5 Routing'!F389,'Step 4 Stage Discharge'!E$26:E$126,1),1))/(INDEX('Step 4 Stage Discharge'!E$26:M$126,MATCH('Step 5 Routing'!F389,'Step 4 Stage Discharge'!E$26:E$126,1)+1,1)-INDEX('Step 4 Stage Discharge'!E$26:M$126,MATCH('Step 5 Routing'!F389,'Step 4 Stage Discharge'!E$26:E$126,1),1))</f>
        <v>4.3639431710317386E-3</v>
      </c>
      <c r="J389" s="149"/>
      <c r="K389" s="6">
        <f t="shared" si="26"/>
        <v>0</v>
      </c>
      <c r="L389" s="6">
        <f t="shared" si="27"/>
        <v>0</v>
      </c>
    </row>
    <row r="390" spans="1:12">
      <c r="A390">
        <f t="shared" si="28"/>
        <v>377</v>
      </c>
      <c r="B390" s="136">
        <f>IF(C$5=Data!D$3,'Step 2 Inflow Hydrograph'!H434,IF(C$5=Data!D$4,'Step 2 Inflow Hydrograph'!I434,IF(C$5=Data!D$5,'Step 2 Inflow Hydrograph'!J434,'Step 2 Inflow Hydrograph'!K434)))</f>
        <v>0</v>
      </c>
      <c r="C390" s="127"/>
      <c r="D390" s="6">
        <f t="shared" si="25"/>
        <v>0</v>
      </c>
      <c r="E390" s="6"/>
      <c r="F390" s="6">
        <f t="shared" si="29"/>
        <v>0</v>
      </c>
      <c r="G390" s="149">
        <f>INDEX('Step 4 Stage Discharge'!E$26:F$126,MATCH(F390,'Step 4 Stage Discharge'!E$26:E$126,1),2)+(INDEX('Step 4 Stage Discharge'!E$26:F$126,MATCH(F390,'Step 4 Stage Discharge'!E$26:E$126,1)+1,2)-INDEX('Step 4 Stage Discharge'!E$26:F$126,MATCH(F390,'Step 4 Stage Discharge'!E$26:E$126,1),2))*(F390-INDEX('Step 4 Stage Discharge'!E$26:F$126,MATCH(F390,'Step 4 Stage Discharge'!E$26:E$126,1),1))/(INDEX('Step 4 Stage Discharge'!E$26:F$126,MATCH(F390,'Step 4 Stage Discharge'!E$26:E$126,1)+1,1)-INDEX('Step 4 Stage Discharge'!E$26:F$126,MATCH(F390,'Step 4 Stage Discharge'!E$26:E$126,1),1))</f>
        <v>0</v>
      </c>
      <c r="H390" s="149"/>
      <c r="I390" s="149">
        <f>INDEX('Step 4 Stage Discharge'!E$26:M$126,MATCH(F390,'Step 4 Stage Discharge'!E$26:E$126,1),9)+(INDEX('Step 4 Stage Discharge'!E$26:M$126,MATCH('Step 5 Routing'!F390,'Step 4 Stage Discharge'!E$26:E$126,1)+1,9)-INDEX('Step 4 Stage Discharge'!E$26:M$126,MATCH('Step 5 Routing'!F390,'Step 4 Stage Discharge'!E$26:E$126,1),9))*('Step 5 Routing'!F390-INDEX('Step 4 Stage Discharge'!E$26:M$126,MATCH('Step 5 Routing'!F390,'Step 4 Stage Discharge'!E$26:E$126,1),1))/(INDEX('Step 4 Stage Discharge'!E$26:M$126,MATCH('Step 5 Routing'!F390,'Step 4 Stage Discharge'!E$26:E$126,1)+1,1)-INDEX('Step 4 Stage Discharge'!E$26:M$126,MATCH('Step 5 Routing'!F390,'Step 4 Stage Discharge'!E$26:E$126,1),1))</f>
        <v>4.3639431710317386E-3</v>
      </c>
      <c r="J390" s="149"/>
      <c r="K390" s="6">
        <f t="shared" si="26"/>
        <v>0</v>
      </c>
      <c r="L390" s="6">
        <f t="shared" si="27"/>
        <v>0</v>
      </c>
    </row>
    <row r="391" spans="1:12">
      <c r="A391">
        <f t="shared" si="28"/>
        <v>378</v>
      </c>
      <c r="B391" s="136">
        <f>IF(C$5=Data!D$3,'Step 2 Inflow Hydrograph'!H435,IF(C$5=Data!D$4,'Step 2 Inflow Hydrograph'!I435,IF(C$5=Data!D$5,'Step 2 Inflow Hydrograph'!J435,'Step 2 Inflow Hydrograph'!K435)))</f>
        <v>0</v>
      </c>
      <c r="C391" s="127"/>
      <c r="D391" s="6">
        <f t="shared" si="25"/>
        <v>0</v>
      </c>
      <c r="E391" s="6"/>
      <c r="F391" s="6">
        <f t="shared" si="29"/>
        <v>0</v>
      </c>
      <c r="G391" s="149">
        <f>INDEX('Step 4 Stage Discharge'!E$26:F$126,MATCH(F391,'Step 4 Stage Discharge'!E$26:E$126,1),2)+(INDEX('Step 4 Stage Discharge'!E$26:F$126,MATCH(F391,'Step 4 Stage Discharge'!E$26:E$126,1)+1,2)-INDEX('Step 4 Stage Discharge'!E$26:F$126,MATCH(F391,'Step 4 Stage Discharge'!E$26:E$126,1),2))*(F391-INDEX('Step 4 Stage Discharge'!E$26:F$126,MATCH(F391,'Step 4 Stage Discharge'!E$26:E$126,1),1))/(INDEX('Step 4 Stage Discharge'!E$26:F$126,MATCH(F391,'Step 4 Stage Discharge'!E$26:E$126,1)+1,1)-INDEX('Step 4 Stage Discharge'!E$26:F$126,MATCH(F391,'Step 4 Stage Discharge'!E$26:E$126,1),1))</f>
        <v>0</v>
      </c>
      <c r="H391" s="149"/>
      <c r="I391" s="149">
        <f>INDEX('Step 4 Stage Discharge'!E$26:M$126,MATCH(F391,'Step 4 Stage Discharge'!E$26:E$126,1),9)+(INDEX('Step 4 Stage Discharge'!E$26:M$126,MATCH('Step 5 Routing'!F391,'Step 4 Stage Discharge'!E$26:E$126,1)+1,9)-INDEX('Step 4 Stage Discharge'!E$26:M$126,MATCH('Step 5 Routing'!F391,'Step 4 Stage Discharge'!E$26:E$126,1),9))*('Step 5 Routing'!F391-INDEX('Step 4 Stage Discharge'!E$26:M$126,MATCH('Step 5 Routing'!F391,'Step 4 Stage Discharge'!E$26:E$126,1),1))/(INDEX('Step 4 Stage Discharge'!E$26:M$126,MATCH('Step 5 Routing'!F391,'Step 4 Stage Discharge'!E$26:E$126,1)+1,1)-INDEX('Step 4 Stage Discharge'!E$26:M$126,MATCH('Step 5 Routing'!F391,'Step 4 Stage Discharge'!E$26:E$126,1),1))</f>
        <v>4.3639431710317386E-3</v>
      </c>
      <c r="J391" s="149"/>
      <c r="K391" s="6">
        <f t="shared" si="26"/>
        <v>0</v>
      </c>
      <c r="L391" s="6">
        <f t="shared" si="27"/>
        <v>0</v>
      </c>
    </row>
    <row r="392" spans="1:12">
      <c r="A392">
        <f t="shared" si="28"/>
        <v>379</v>
      </c>
      <c r="B392" s="136">
        <f>IF(C$5=Data!D$3,'Step 2 Inflow Hydrograph'!H436,IF(C$5=Data!D$4,'Step 2 Inflow Hydrograph'!I436,IF(C$5=Data!D$5,'Step 2 Inflow Hydrograph'!J436,'Step 2 Inflow Hydrograph'!K436)))</f>
        <v>0</v>
      </c>
      <c r="C392" s="127"/>
      <c r="D392" s="6">
        <f t="shared" si="25"/>
        <v>0</v>
      </c>
      <c r="E392" s="6"/>
      <c r="F392" s="6">
        <f t="shared" si="29"/>
        <v>0</v>
      </c>
      <c r="G392" s="149">
        <f>INDEX('Step 4 Stage Discharge'!E$26:F$126,MATCH(F392,'Step 4 Stage Discharge'!E$26:E$126,1),2)+(INDEX('Step 4 Stage Discharge'!E$26:F$126,MATCH(F392,'Step 4 Stage Discharge'!E$26:E$126,1)+1,2)-INDEX('Step 4 Stage Discharge'!E$26:F$126,MATCH(F392,'Step 4 Stage Discharge'!E$26:E$126,1),2))*(F392-INDEX('Step 4 Stage Discharge'!E$26:F$126,MATCH(F392,'Step 4 Stage Discharge'!E$26:E$126,1),1))/(INDEX('Step 4 Stage Discharge'!E$26:F$126,MATCH(F392,'Step 4 Stage Discharge'!E$26:E$126,1)+1,1)-INDEX('Step 4 Stage Discharge'!E$26:F$126,MATCH(F392,'Step 4 Stage Discharge'!E$26:E$126,1),1))</f>
        <v>0</v>
      </c>
      <c r="H392" s="149"/>
      <c r="I392" s="149">
        <f>INDEX('Step 4 Stage Discharge'!E$26:M$126,MATCH(F392,'Step 4 Stage Discharge'!E$26:E$126,1),9)+(INDEX('Step 4 Stage Discharge'!E$26:M$126,MATCH('Step 5 Routing'!F392,'Step 4 Stage Discharge'!E$26:E$126,1)+1,9)-INDEX('Step 4 Stage Discharge'!E$26:M$126,MATCH('Step 5 Routing'!F392,'Step 4 Stage Discharge'!E$26:E$126,1),9))*('Step 5 Routing'!F392-INDEX('Step 4 Stage Discharge'!E$26:M$126,MATCH('Step 5 Routing'!F392,'Step 4 Stage Discharge'!E$26:E$126,1),1))/(INDEX('Step 4 Stage Discharge'!E$26:M$126,MATCH('Step 5 Routing'!F392,'Step 4 Stage Discharge'!E$26:E$126,1)+1,1)-INDEX('Step 4 Stage Discharge'!E$26:M$126,MATCH('Step 5 Routing'!F392,'Step 4 Stage Discharge'!E$26:E$126,1),1))</f>
        <v>4.3639431710317386E-3</v>
      </c>
      <c r="J392" s="149"/>
      <c r="K392" s="6">
        <f t="shared" si="26"/>
        <v>0</v>
      </c>
      <c r="L392" s="6">
        <f t="shared" si="27"/>
        <v>0</v>
      </c>
    </row>
    <row r="393" spans="1:12">
      <c r="A393">
        <f t="shared" si="28"/>
        <v>380</v>
      </c>
      <c r="B393" s="136">
        <f>IF(C$5=Data!D$3,'Step 2 Inflow Hydrograph'!H437,IF(C$5=Data!D$4,'Step 2 Inflow Hydrograph'!I437,IF(C$5=Data!D$5,'Step 2 Inflow Hydrograph'!J437,'Step 2 Inflow Hydrograph'!K437)))</f>
        <v>0</v>
      </c>
      <c r="C393" s="127"/>
      <c r="D393" s="6">
        <f t="shared" si="25"/>
        <v>0</v>
      </c>
      <c r="E393" s="6"/>
      <c r="F393" s="6">
        <f t="shared" si="29"/>
        <v>0</v>
      </c>
      <c r="G393" s="149">
        <f>INDEX('Step 4 Stage Discharge'!E$26:F$126,MATCH(F393,'Step 4 Stage Discharge'!E$26:E$126,1),2)+(INDEX('Step 4 Stage Discharge'!E$26:F$126,MATCH(F393,'Step 4 Stage Discharge'!E$26:E$126,1)+1,2)-INDEX('Step 4 Stage Discharge'!E$26:F$126,MATCH(F393,'Step 4 Stage Discharge'!E$26:E$126,1),2))*(F393-INDEX('Step 4 Stage Discharge'!E$26:F$126,MATCH(F393,'Step 4 Stage Discharge'!E$26:E$126,1),1))/(INDEX('Step 4 Stage Discharge'!E$26:F$126,MATCH(F393,'Step 4 Stage Discharge'!E$26:E$126,1)+1,1)-INDEX('Step 4 Stage Discharge'!E$26:F$126,MATCH(F393,'Step 4 Stage Discharge'!E$26:E$126,1),1))</f>
        <v>0</v>
      </c>
      <c r="H393" s="149"/>
      <c r="I393" s="149">
        <f>INDEX('Step 4 Stage Discharge'!E$26:M$126,MATCH(F393,'Step 4 Stage Discharge'!E$26:E$126,1),9)+(INDEX('Step 4 Stage Discharge'!E$26:M$126,MATCH('Step 5 Routing'!F393,'Step 4 Stage Discharge'!E$26:E$126,1)+1,9)-INDEX('Step 4 Stage Discharge'!E$26:M$126,MATCH('Step 5 Routing'!F393,'Step 4 Stage Discharge'!E$26:E$126,1),9))*('Step 5 Routing'!F393-INDEX('Step 4 Stage Discharge'!E$26:M$126,MATCH('Step 5 Routing'!F393,'Step 4 Stage Discharge'!E$26:E$126,1),1))/(INDEX('Step 4 Stage Discharge'!E$26:M$126,MATCH('Step 5 Routing'!F393,'Step 4 Stage Discharge'!E$26:E$126,1)+1,1)-INDEX('Step 4 Stage Discharge'!E$26:M$126,MATCH('Step 5 Routing'!F393,'Step 4 Stage Discharge'!E$26:E$126,1),1))</f>
        <v>4.3639431710317386E-3</v>
      </c>
      <c r="J393" s="149"/>
      <c r="K393" s="6">
        <f t="shared" si="26"/>
        <v>0</v>
      </c>
      <c r="L393" s="6">
        <f t="shared" si="27"/>
        <v>0</v>
      </c>
    </row>
    <row r="394" spans="1:12">
      <c r="A394">
        <f t="shared" si="28"/>
        <v>381</v>
      </c>
      <c r="B394" s="136">
        <f>IF(C$5=Data!D$3,'Step 2 Inflow Hydrograph'!H438,IF(C$5=Data!D$4,'Step 2 Inflow Hydrograph'!I438,IF(C$5=Data!D$5,'Step 2 Inflow Hydrograph'!J438,'Step 2 Inflow Hydrograph'!K438)))</f>
        <v>0</v>
      </c>
      <c r="C394" s="127"/>
      <c r="D394" s="6">
        <f t="shared" si="25"/>
        <v>0</v>
      </c>
      <c r="E394" s="6"/>
      <c r="F394" s="6">
        <f t="shared" si="29"/>
        <v>0</v>
      </c>
      <c r="G394" s="149">
        <f>INDEX('Step 4 Stage Discharge'!E$26:F$126,MATCH(F394,'Step 4 Stage Discharge'!E$26:E$126,1),2)+(INDEX('Step 4 Stage Discharge'!E$26:F$126,MATCH(F394,'Step 4 Stage Discharge'!E$26:E$126,1)+1,2)-INDEX('Step 4 Stage Discharge'!E$26:F$126,MATCH(F394,'Step 4 Stage Discharge'!E$26:E$126,1),2))*(F394-INDEX('Step 4 Stage Discharge'!E$26:F$126,MATCH(F394,'Step 4 Stage Discharge'!E$26:E$126,1),1))/(INDEX('Step 4 Stage Discharge'!E$26:F$126,MATCH(F394,'Step 4 Stage Discharge'!E$26:E$126,1)+1,1)-INDEX('Step 4 Stage Discharge'!E$26:F$126,MATCH(F394,'Step 4 Stage Discharge'!E$26:E$126,1),1))</f>
        <v>0</v>
      </c>
      <c r="H394" s="149"/>
      <c r="I394" s="149">
        <f>INDEX('Step 4 Stage Discharge'!E$26:M$126,MATCH(F394,'Step 4 Stage Discharge'!E$26:E$126,1),9)+(INDEX('Step 4 Stage Discharge'!E$26:M$126,MATCH('Step 5 Routing'!F394,'Step 4 Stage Discharge'!E$26:E$126,1)+1,9)-INDEX('Step 4 Stage Discharge'!E$26:M$126,MATCH('Step 5 Routing'!F394,'Step 4 Stage Discharge'!E$26:E$126,1),9))*('Step 5 Routing'!F394-INDEX('Step 4 Stage Discharge'!E$26:M$126,MATCH('Step 5 Routing'!F394,'Step 4 Stage Discharge'!E$26:E$126,1),1))/(INDEX('Step 4 Stage Discharge'!E$26:M$126,MATCH('Step 5 Routing'!F394,'Step 4 Stage Discharge'!E$26:E$126,1)+1,1)-INDEX('Step 4 Stage Discharge'!E$26:M$126,MATCH('Step 5 Routing'!F394,'Step 4 Stage Discharge'!E$26:E$126,1),1))</f>
        <v>4.3639431710317386E-3</v>
      </c>
      <c r="J394" s="149"/>
      <c r="K394" s="6">
        <f t="shared" si="26"/>
        <v>0</v>
      </c>
      <c r="L394" s="6">
        <f t="shared" si="27"/>
        <v>0</v>
      </c>
    </row>
    <row r="395" spans="1:12">
      <c r="A395">
        <f t="shared" si="28"/>
        <v>382</v>
      </c>
      <c r="B395" s="136">
        <f>IF(C$5=Data!D$3,'Step 2 Inflow Hydrograph'!H439,IF(C$5=Data!D$4,'Step 2 Inflow Hydrograph'!I439,IF(C$5=Data!D$5,'Step 2 Inflow Hydrograph'!J439,'Step 2 Inflow Hydrograph'!K439)))</f>
        <v>0</v>
      </c>
      <c r="C395" s="127"/>
      <c r="D395" s="6">
        <f t="shared" si="25"/>
        <v>0</v>
      </c>
      <c r="E395" s="6"/>
      <c r="F395" s="6">
        <f t="shared" si="29"/>
        <v>0</v>
      </c>
      <c r="G395" s="149">
        <f>INDEX('Step 4 Stage Discharge'!E$26:F$126,MATCH(F395,'Step 4 Stage Discharge'!E$26:E$126,1),2)+(INDEX('Step 4 Stage Discharge'!E$26:F$126,MATCH(F395,'Step 4 Stage Discharge'!E$26:E$126,1)+1,2)-INDEX('Step 4 Stage Discharge'!E$26:F$126,MATCH(F395,'Step 4 Stage Discharge'!E$26:E$126,1),2))*(F395-INDEX('Step 4 Stage Discharge'!E$26:F$126,MATCH(F395,'Step 4 Stage Discharge'!E$26:E$126,1),1))/(INDEX('Step 4 Stage Discharge'!E$26:F$126,MATCH(F395,'Step 4 Stage Discharge'!E$26:E$126,1)+1,1)-INDEX('Step 4 Stage Discharge'!E$26:F$126,MATCH(F395,'Step 4 Stage Discharge'!E$26:E$126,1),1))</f>
        <v>0</v>
      </c>
      <c r="H395" s="149"/>
      <c r="I395" s="149">
        <f>INDEX('Step 4 Stage Discharge'!E$26:M$126,MATCH(F395,'Step 4 Stage Discharge'!E$26:E$126,1),9)+(INDEX('Step 4 Stage Discharge'!E$26:M$126,MATCH('Step 5 Routing'!F395,'Step 4 Stage Discharge'!E$26:E$126,1)+1,9)-INDEX('Step 4 Stage Discharge'!E$26:M$126,MATCH('Step 5 Routing'!F395,'Step 4 Stage Discharge'!E$26:E$126,1),9))*('Step 5 Routing'!F395-INDEX('Step 4 Stage Discharge'!E$26:M$126,MATCH('Step 5 Routing'!F395,'Step 4 Stage Discharge'!E$26:E$126,1),1))/(INDEX('Step 4 Stage Discharge'!E$26:M$126,MATCH('Step 5 Routing'!F395,'Step 4 Stage Discharge'!E$26:E$126,1)+1,1)-INDEX('Step 4 Stage Discharge'!E$26:M$126,MATCH('Step 5 Routing'!F395,'Step 4 Stage Discharge'!E$26:E$126,1),1))</f>
        <v>4.3639431710317386E-3</v>
      </c>
      <c r="J395" s="149"/>
      <c r="K395" s="6">
        <f t="shared" si="26"/>
        <v>0</v>
      </c>
      <c r="L395" s="6">
        <f t="shared" si="27"/>
        <v>0</v>
      </c>
    </row>
    <row r="396" spans="1:12">
      <c r="A396">
        <f t="shared" si="28"/>
        <v>383</v>
      </c>
      <c r="B396" s="136">
        <f>IF(C$5=Data!D$3,'Step 2 Inflow Hydrograph'!H440,IF(C$5=Data!D$4,'Step 2 Inflow Hydrograph'!I440,IF(C$5=Data!D$5,'Step 2 Inflow Hydrograph'!J440,'Step 2 Inflow Hydrograph'!K440)))</f>
        <v>0</v>
      </c>
      <c r="C396" s="127"/>
      <c r="D396" s="6">
        <f t="shared" si="25"/>
        <v>0</v>
      </c>
      <c r="E396" s="6"/>
      <c r="F396" s="6">
        <f t="shared" si="29"/>
        <v>0</v>
      </c>
      <c r="G396" s="149">
        <f>INDEX('Step 4 Stage Discharge'!E$26:F$126,MATCH(F396,'Step 4 Stage Discharge'!E$26:E$126,1),2)+(INDEX('Step 4 Stage Discharge'!E$26:F$126,MATCH(F396,'Step 4 Stage Discharge'!E$26:E$126,1)+1,2)-INDEX('Step 4 Stage Discharge'!E$26:F$126,MATCH(F396,'Step 4 Stage Discharge'!E$26:E$126,1),2))*(F396-INDEX('Step 4 Stage Discharge'!E$26:F$126,MATCH(F396,'Step 4 Stage Discharge'!E$26:E$126,1),1))/(INDEX('Step 4 Stage Discharge'!E$26:F$126,MATCH(F396,'Step 4 Stage Discharge'!E$26:E$126,1)+1,1)-INDEX('Step 4 Stage Discharge'!E$26:F$126,MATCH(F396,'Step 4 Stage Discharge'!E$26:E$126,1),1))</f>
        <v>0</v>
      </c>
      <c r="H396" s="149"/>
      <c r="I396" s="149">
        <f>INDEX('Step 4 Stage Discharge'!E$26:M$126,MATCH(F396,'Step 4 Stage Discharge'!E$26:E$126,1),9)+(INDEX('Step 4 Stage Discharge'!E$26:M$126,MATCH('Step 5 Routing'!F396,'Step 4 Stage Discharge'!E$26:E$126,1)+1,9)-INDEX('Step 4 Stage Discharge'!E$26:M$126,MATCH('Step 5 Routing'!F396,'Step 4 Stage Discharge'!E$26:E$126,1),9))*('Step 5 Routing'!F396-INDEX('Step 4 Stage Discharge'!E$26:M$126,MATCH('Step 5 Routing'!F396,'Step 4 Stage Discharge'!E$26:E$126,1),1))/(INDEX('Step 4 Stage Discharge'!E$26:M$126,MATCH('Step 5 Routing'!F396,'Step 4 Stage Discharge'!E$26:E$126,1)+1,1)-INDEX('Step 4 Stage Discharge'!E$26:M$126,MATCH('Step 5 Routing'!F396,'Step 4 Stage Discharge'!E$26:E$126,1),1))</f>
        <v>4.3639431710317386E-3</v>
      </c>
      <c r="J396" s="149"/>
      <c r="K396" s="6">
        <f t="shared" si="26"/>
        <v>0</v>
      </c>
      <c r="L396" s="6">
        <f t="shared" si="27"/>
        <v>0</v>
      </c>
    </row>
    <row r="397" spans="1:12">
      <c r="A397">
        <f t="shared" si="28"/>
        <v>384</v>
      </c>
      <c r="B397" s="136">
        <f>IF(C$5=Data!D$3,'Step 2 Inflow Hydrograph'!H441,IF(C$5=Data!D$4,'Step 2 Inflow Hydrograph'!I441,IF(C$5=Data!D$5,'Step 2 Inflow Hydrograph'!J441,'Step 2 Inflow Hydrograph'!K441)))</f>
        <v>0</v>
      </c>
      <c r="C397" s="127"/>
      <c r="D397" s="6">
        <f t="shared" ref="D397:D460" si="30">IF(B397="",0,B397*D$8*60)</f>
        <v>0</v>
      </c>
      <c r="E397" s="6"/>
      <c r="F397" s="6">
        <f t="shared" si="29"/>
        <v>0</v>
      </c>
      <c r="G397" s="149">
        <f>INDEX('Step 4 Stage Discharge'!E$26:F$126,MATCH(F397,'Step 4 Stage Discharge'!E$26:E$126,1),2)+(INDEX('Step 4 Stage Discharge'!E$26:F$126,MATCH(F397,'Step 4 Stage Discharge'!E$26:E$126,1)+1,2)-INDEX('Step 4 Stage Discharge'!E$26:F$126,MATCH(F397,'Step 4 Stage Discharge'!E$26:E$126,1),2))*(F397-INDEX('Step 4 Stage Discharge'!E$26:F$126,MATCH(F397,'Step 4 Stage Discharge'!E$26:E$126,1),1))/(INDEX('Step 4 Stage Discharge'!E$26:F$126,MATCH(F397,'Step 4 Stage Discharge'!E$26:E$126,1)+1,1)-INDEX('Step 4 Stage Discharge'!E$26:F$126,MATCH(F397,'Step 4 Stage Discharge'!E$26:E$126,1),1))</f>
        <v>0</v>
      </c>
      <c r="H397" s="149"/>
      <c r="I397" s="149">
        <f>INDEX('Step 4 Stage Discharge'!E$26:M$126,MATCH(F397,'Step 4 Stage Discharge'!E$26:E$126,1),9)+(INDEX('Step 4 Stage Discharge'!E$26:M$126,MATCH('Step 5 Routing'!F397,'Step 4 Stage Discharge'!E$26:E$126,1)+1,9)-INDEX('Step 4 Stage Discharge'!E$26:M$126,MATCH('Step 5 Routing'!F397,'Step 4 Stage Discharge'!E$26:E$126,1),9))*('Step 5 Routing'!F397-INDEX('Step 4 Stage Discharge'!E$26:M$126,MATCH('Step 5 Routing'!F397,'Step 4 Stage Discharge'!E$26:E$126,1),1))/(INDEX('Step 4 Stage Discharge'!E$26:M$126,MATCH('Step 5 Routing'!F397,'Step 4 Stage Discharge'!E$26:E$126,1)+1,1)-INDEX('Step 4 Stage Discharge'!E$26:M$126,MATCH('Step 5 Routing'!F397,'Step 4 Stage Discharge'!E$26:E$126,1),1))</f>
        <v>4.3639431710317386E-3</v>
      </c>
      <c r="J397" s="149"/>
      <c r="K397" s="6">
        <f t="shared" ref="K397:K460" si="31">IF(I397*60*D$8&gt;F397,F397,I397*60*D$8)</f>
        <v>0</v>
      </c>
      <c r="L397" s="6">
        <f t="shared" ref="L397:L460" si="32">IF(F397-K397&lt;0,0,F397-K397)</f>
        <v>0</v>
      </c>
    </row>
    <row r="398" spans="1:12">
      <c r="A398">
        <f t="shared" ref="A398:A461" si="33">+A397+D$8</f>
        <v>385</v>
      </c>
      <c r="B398" s="136">
        <f>IF(C$5=Data!D$3,'Step 2 Inflow Hydrograph'!H442,IF(C$5=Data!D$4,'Step 2 Inflow Hydrograph'!I442,IF(C$5=Data!D$5,'Step 2 Inflow Hydrograph'!J442,'Step 2 Inflow Hydrograph'!K442)))</f>
        <v>0</v>
      </c>
      <c r="C398" s="127"/>
      <c r="D398" s="6">
        <f t="shared" si="30"/>
        <v>0</v>
      </c>
      <c r="E398" s="6"/>
      <c r="F398" s="6">
        <f t="shared" ref="F398:F461" si="34">+L397+D398</f>
        <v>0</v>
      </c>
      <c r="G398" s="149">
        <f>INDEX('Step 4 Stage Discharge'!E$26:F$126,MATCH(F398,'Step 4 Stage Discharge'!E$26:E$126,1),2)+(INDEX('Step 4 Stage Discharge'!E$26:F$126,MATCH(F398,'Step 4 Stage Discharge'!E$26:E$126,1)+1,2)-INDEX('Step 4 Stage Discharge'!E$26:F$126,MATCH(F398,'Step 4 Stage Discharge'!E$26:E$126,1),2))*(F398-INDEX('Step 4 Stage Discharge'!E$26:F$126,MATCH(F398,'Step 4 Stage Discharge'!E$26:E$126,1),1))/(INDEX('Step 4 Stage Discharge'!E$26:F$126,MATCH(F398,'Step 4 Stage Discharge'!E$26:E$126,1)+1,1)-INDEX('Step 4 Stage Discharge'!E$26:F$126,MATCH(F398,'Step 4 Stage Discharge'!E$26:E$126,1),1))</f>
        <v>0</v>
      </c>
      <c r="H398" s="149"/>
      <c r="I398" s="149">
        <f>INDEX('Step 4 Stage Discharge'!E$26:M$126,MATCH(F398,'Step 4 Stage Discharge'!E$26:E$126,1),9)+(INDEX('Step 4 Stage Discharge'!E$26:M$126,MATCH('Step 5 Routing'!F398,'Step 4 Stage Discharge'!E$26:E$126,1)+1,9)-INDEX('Step 4 Stage Discharge'!E$26:M$126,MATCH('Step 5 Routing'!F398,'Step 4 Stage Discharge'!E$26:E$126,1),9))*('Step 5 Routing'!F398-INDEX('Step 4 Stage Discharge'!E$26:M$126,MATCH('Step 5 Routing'!F398,'Step 4 Stage Discharge'!E$26:E$126,1),1))/(INDEX('Step 4 Stage Discharge'!E$26:M$126,MATCH('Step 5 Routing'!F398,'Step 4 Stage Discharge'!E$26:E$126,1)+1,1)-INDEX('Step 4 Stage Discharge'!E$26:M$126,MATCH('Step 5 Routing'!F398,'Step 4 Stage Discharge'!E$26:E$126,1),1))</f>
        <v>4.3639431710317386E-3</v>
      </c>
      <c r="J398" s="149"/>
      <c r="K398" s="6">
        <f t="shared" si="31"/>
        <v>0</v>
      </c>
      <c r="L398" s="6">
        <f t="shared" si="32"/>
        <v>0</v>
      </c>
    </row>
    <row r="399" spans="1:12">
      <c r="A399">
        <f t="shared" si="33"/>
        <v>386</v>
      </c>
      <c r="B399" s="136">
        <f>IF(C$5=Data!D$3,'Step 2 Inflow Hydrograph'!H443,IF(C$5=Data!D$4,'Step 2 Inflow Hydrograph'!I443,IF(C$5=Data!D$5,'Step 2 Inflow Hydrograph'!J443,'Step 2 Inflow Hydrograph'!K443)))</f>
        <v>0</v>
      </c>
      <c r="C399" s="127"/>
      <c r="D399" s="6">
        <f t="shared" si="30"/>
        <v>0</v>
      </c>
      <c r="E399" s="6"/>
      <c r="F399" s="6">
        <f t="shared" si="34"/>
        <v>0</v>
      </c>
      <c r="G399" s="149">
        <f>INDEX('Step 4 Stage Discharge'!E$26:F$126,MATCH(F399,'Step 4 Stage Discharge'!E$26:E$126,1),2)+(INDEX('Step 4 Stage Discharge'!E$26:F$126,MATCH(F399,'Step 4 Stage Discharge'!E$26:E$126,1)+1,2)-INDEX('Step 4 Stage Discharge'!E$26:F$126,MATCH(F399,'Step 4 Stage Discharge'!E$26:E$126,1),2))*(F399-INDEX('Step 4 Stage Discharge'!E$26:F$126,MATCH(F399,'Step 4 Stage Discharge'!E$26:E$126,1),1))/(INDEX('Step 4 Stage Discharge'!E$26:F$126,MATCH(F399,'Step 4 Stage Discharge'!E$26:E$126,1)+1,1)-INDEX('Step 4 Stage Discharge'!E$26:F$126,MATCH(F399,'Step 4 Stage Discharge'!E$26:E$126,1),1))</f>
        <v>0</v>
      </c>
      <c r="H399" s="149"/>
      <c r="I399" s="149">
        <f>INDEX('Step 4 Stage Discharge'!E$26:M$126,MATCH(F399,'Step 4 Stage Discharge'!E$26:E$126,1),9)+(INDEX('Step 4 Stage Discharge'!E$26:M$126,MATCH('Step 5 Routing'!F399,'Step 4 Stage Discharge'!E$26:E$126,1)+1,9)-INDEX('Step 4 Stage Discharge'!E$26:M$126,MATCH('Step 5 Routing'!F399,'Step 4 Stage Discharge'!E$26:E$126,1),9))*('Step 5 Routing'!F399-INDEX('Step 4 Stage Discharge'!E$26:M$126,MATCH('Step 5 Routing'!F399,'Step 4 Stage Discharge'!E$26:E$126,1),1))/(INDEX('Step 4 Stage Discharge'!E$26:M$126,MATCH('Step 5 Routing'!F399,'Step 4 Stage Discharge'!E$26:E$126,1)+1,1)-INDEX('Step 4 Stage Discharge'!E$26:M$126,MATCH('Step 5 Routing'!F399,'Step 4 Stage Discharge'!E$26:E$126,1),1))</f>
        <v>4.3639431710317386E-3</v>
      </c>
      <c r="J399" s="149"/>
      <c r="K399" s="6">
        <f t="shared" si="31"/>
        <v>0</v>
      </c>
      <c r="L399" s="6">
        <f t="shared" si="32"/>
        <v>0</v>
      </c>
    </row>
    <row r="400" spans="1:12">
      <c r="A400">
        <f t="shared" si="33"/>
        <v>387</v>
      </c>
      <c r="B400" s="136">
        <f>IF(C$5=Data!D$3,'Step 2 Inflow Hydrograph'!H444,IF(C$5=Data!D$4,'Step 2 Inflow Hydrograph'!I444,IF(C$5=Data!D$5,'Step 2 Inflow Hydrograph'!J444,'Step 2 Inflow Hydrograph'!K444)))</f>
        <v>0</v>
      </c>
      <c r="C400" s="127"/>
      <c r="D400" s="6">
        <f t="shared" si="30"/>
        <v>0</v>
      </c>
      <c r="E400" s="6"/>
      <c r="F400" s="6">
        <f t="shared" si="34"/>
        <v>0</v>
      </c>
      <c r="G400" s="149">
        <f>INDEX('Step 4 Stage Discharge'!E$26:F$126,MATCH(F400,'Step 4 Stage Discharge'!E$26:E$126,1),2)+(INDEX('Step 4 Stage Discharge'!E$26:F$126,MATCH(F400,'Step 4 Stage Discharge'!E$26:E$126,1)+1,2)-INDEX('Step 4 Stage Discharge'!E$26:F$126,MATCH(F400,'Step 4 Stage Discharge'!E$26:E$126,1),2))*(F400-INDEX('Step 4 Stage Discharge'!E$26:F$126,MATCH(F400,'Step 4 Stage Discharge'!E$26:E$126,1),1))/(INDEX('Step 4 Stage Discharge'!E$26:F$126,MATCH(F400,'Step 4 Stage Discharge'!E$26:E$126,1)+1,1)-INDEX('Step 4 Stage Discharge'!E$26:F$126,MATCH(F400,'Step 4 Stage Discharge'!E$26:E$126,1),1))</f>
        <v>0</v>
      </c>
      <c r="H400" s="149"/>
      <c r="I400" s="149">
        <f>INDEX('Step 4 Stage Discharge'!E$26:M$126,MATCH(F400,'Step 4 Stage Discharge'!E$26:E$126,1),9)+(INDEX('Step 4 Stage Discharge'!E$26:M$126,MATCH('Step 5 Routing'!F400,'Step 4 Stage Discharge'!E$26:E$126,1)+1,9)-INDEX('Step 4 Stage Discharge'!E$26:M$126,MATCH('Step 5 Routing'!F400,'Step 4 Stage Discharge'!E$26:E$126,1),9))*('Step 5 Routing'!F400-INDEX('Step 4 Stage Discharge'!E$26:M$126,MATCH('Step 5 Routing'!F400,'Step 4 Stage Discharge'!E$26:E$126,1),1))/(INDEX('Step 4 Stage Discharge'!E$26:M$126,MATCH('Step 5 Routing'!F400,'Step 4 Stage Discharge'!E$26:E$126,1)+1,1)-INDEX('Step 4 Stage Discharge'!E$26:M$126,MATCH('Step 5 Routing'!F400,'Step 4 Stage Discharge'!E$26:E$126,1),1))</f>
        <v>4.3639431710317386E-3</v>
      </c>
      <c r="J400" s="149"/>
      <c r="K400" s="6">
        <f t="shared" si="31"/>
        <v>0</v>
      </c>
      <c r="L400" s="6">
        <f t="shared" si="32"/>
        <v>0</v>
      </c>
    </row>
    <row r="401" spans="1:12">
      <c r="A401">
        <f t="shared" si="33"/>
        <v>388</v>
      </c>
      <c r="B401" s="136">
        <f>IF(C$5=Data!D$3,'Step 2 Inflow Hydrograph'!H445,IF(C$5=Data!D$4,'Step 2 Inflow Hydrograph'!I445,IF(C$5=Data!D$5,'Step 2 Inflow Hydrograph'!J445,'Step 2 Inflow Hydrograph'!K445)))</f>
        <v>0</v>
      </c>
      <c r="C401" s="127"/>
      <c r="D401" s="6">
        <f t="shared" si="30"/>
        <v>0</v>
      </c>
      <c r="E401" s="6"/>
      <c r="F401" s="6">
        <f t="shared" si="34"/>
        <v>0</v>
      </c>
      <c r="G401" s="149">
        <f>INDEX('Step 4 Stage Discharge'!E$26:F$126,MATCH(F401,'Step 4 Stage Discharge'!E$26:E$126,1),2)+(INDEX('Step 4 Stage Discharge'!E$26:F$126,MATCH(F401,'Step 4 Stage Discharge'!E$26:E$126,1)+1,2)-INDEX('Step 4 Stage Discharge'!E$26:F$126,MATCH(F401,'Step 4 Stage Discharge'!E$26:E$126,1),2))*(F401-INDEX('Step 4 Stage Discharge'!E$26:F$126,MATCH(F401,'Step 4 Stage Discharge'!E$26:E$126,1),1))/(INDEX('Step 4 Stage Discharge'!E$26:F$126,MATCH(F401,'Step 4 Stage Discharge'!E$26:E$126,1)+1,1)-INDEX('Step 4 Stage Discharge'!E$26:F$126,MATCH(F401,'Step 4 Stage Discharge'!E$26:E$126,1),1))</f>
        <v>0</v>
      </c>
      <c r="H401" s="149"/>
      <c r="I401" s="149">
        <f>INDEX('Step 4 Stage Discharge'!E$26:M$126,MATCH(F401,'Step 4 Stage Discharge'!E$26:E$126,1),9)+(INDEX('Step 4 Stage Discharge'!E$26:M$126,MATCH('Step 5 Routing'!F401,'Step 4 Stage Discharge'!E$26:E$126,1)+1,9)-INDEX('Step 4 Stage Discharge'!E$26:M$126,MATCH('Step 5 Routing'!F401,'Step 4 Stage Discharge'!E$26:E$126,1),9))*('Step 5 Routing'!F401-INDEX('Step 4 Stage Discharge'!E$26:M$126,MATCH('Step 5 Routing'!F401,'Step 4 Stage Discharge'!E$26:E$126,1),1))/(INDEX('Step 4 Stage Discharge'!E$26:M$126,MATCH('Step 5 Routing'!F401,'Step 4 Stage Discharge'!E$26:E$126,1)+1,1)-INDEX('Step 4 Stage Discharge'!E$26:M$126,MATCH('Step 5 Routing'!F401,'Step 4 Stage Discharge'!E$26:E$126,1),1))</f>
        <v>4.3639431710317386E-3</v>
      </c>
      <c r="J401" s="149"/>
      <c r="K401" s="6">
        <f t="shared" si="31"/>
        <v>0</v>
      </c>
      <c r="L401" s="6">
        <f t="shared" si="32"/>
        <v>0</v>
      </c>
    </row>
    <row r="402" spans="1:12">
      <c r="A402">
        <f t="shared" si="33"/>
        <v>389</v>
      </c>
      <c r="B402" s="136">
        <f>IF(C$5=Data!D$3,'Step 2 Inflow Hydrograph'!H446,IF(C$5=Data!D$4,'Step 2 Inflow Hydrograph'!I446,IF(C$5=Data!D$5,'Step 2 Inflow Hydrograph'!J446,'Step 2 Inflow Hydrograph'!K446)))</f>
        <v>0</v>
      </c>
      <c r="C402" s="127"/>
      <c r="D402" s="6">
        <f t="shared" si="30"/>
        <v>0</v>
      </c>
      <c r="E402" s="6"/>
      <c r="F402" s="6">
        <f t="shared" si="34"/>
        <v>0</v>
      </c>
      <c r="G402" s="149">
        <f>INDEX('Step 4 Stage Discharge'!E$26:F$126,MATCH(F402,'Step 4 Stage Discharge'!E$26:E$126,1),2)+(INDEX('Step 4 Stage Discharge'!E$26:F$126,MATCH(F402,'Step 4 Stage Discharge'!E$26:E$126,1)+1,2)-INDEX('Step 4 Stage Discharge'!E$26:F$126,MATCH(F402,'Step 4 Stage Discharge'!E$26:E$126,1),2))*(F402-INDEX('Step 4 Stage Discharge'!E$26:F$126,MATCH(F402,'Step 4 Stage Discharge'!E$26:E$126,1),1))/(INDEX('Step 4 Stage Discharge'!E$26:F$126,MATCH(F402,'Step 4 Stage Discharge'!E$26:E$126,1)+1,1)-INDEX('Step 4 Stage Discharge'!E$26:F$126,MATCH(F402,'Step 4 Stage Discharge'!E$26:E$126,1),1))</f>
        <v>0</v>
      </c>
      <c r="H402" s="149"/>
      <c r="I402" s="149">
        <f>INDEX('Step 4 Stage Discharge'!E$26:M$126,MATCH(F402,'Step 4 Stage Discharge'!E$26:E$126,1),9)+(INDEX('Step 4 Stage Discharge'!E$26:M$126,MATCH('Step 5 Routing'!F402,'Step 4 Stage Discharge'!E$26:E$126,1)+1,9)-INDEX('Step 4 Stage Discharge'!E$26:M$126,MATCH('Step 5 Routing'!F402,'Step 4 Stage Discharge'!E$26:E$126,1),9))*('Step 5 Routing'!F402-INDEX('Step 4 Stage Discharge'!E$26:M$126,MATCH('Step 5 Routing'!F402,'Step 4 Stage Discharge'!E$26:E$126,1),1))/(INDEX('Step 4 Stage Discharge'!E$26:M$126,MATCH('Step 5 Routing'!F402,'Step 4 Stage Discharge'!E$26:E$126,1)+1,1)-INDEX('Step 4 Stage Discharge'!E$26:M$126,MATCH('Step 5 Routing'!F402,'Step 4 Stage Discharge'!E$26:E$126,1),1))</f>
        <v>4.3639431710317386E-3</v>
      </c>
      <c r="J402" s="149"/>
      <c r="K402" s="6">
        <f t="shared" si="31"/>
        <v>0</v>
      </c>
      <c r="L402" s="6">
        <f t="shared" si="32"/>
        <v>0</v>
      </c>
    </row>
    <row r="403" spans="1:12">
      <c r="A403">
        <f t="shared" si="33"/>
        <v>390</v>
      </c>
      <c r="B403" s="136">
        <f>IF(C$5=Data!D$3,'Step 2 Inflow Hydrograph'!H447,IF(C$5=Data!D$4,'Step 2 Inflow Hydrograph'!I447,IF(C$5=Data!D$5,'Step 2 Inflow Hydrograph'!J447,'Step 2 Inflow Hydrograph'!K447)))</f>
        <v>0</v>
      </c>
      <c r="C403" s="127"/>
      <c r="D403" s="6">
        <f t="shared" si="30"/>
        <v>0</v>
      </c>
      <c r="E403" s="6"/>
      <c r="F403" s="6">
        <f t="shared" si="34"/>
        <v>0</v>
      </c>
      <c r="G403" s="149">
        <f>INDEX('Step 4 Stage Discharge'!E$26:F$126,MATCH(F403,'Step 4 Stage Discharge'!E$26:E$126,1),2)+(INDEX('Step 4 Stage Discharge'!E$26:F$126,MATCH(F403,'Step 4 Stage Discharge'!E$26:E$126,1)+1,2)-INDEX('Step 4 Stage Discharge'!E$26:F$126,MATCH(F403,'Step 4 Stage Discharge'!E$26:E$126,1),2))*(F403-INDEX('Step 4 Stage Discharge'!E$26:F$126,MATCH(F403,'Step 4 Stage Discharge'!E$26:E$126,1),1))/(INDEX('Step 4 Stage Discharge'!E$26:F$126,MATCH(F403,'Step 4 Stage Discharge'!E$26:E$126,1)+1,1)-INDEX('Step 4 Stage Discharge'!E$26:F$126,MATCH(F403,'Step 4 Stage Discharge'!E$26:E$126,1),1))</f>
        <v>0</v>
      </c>
      <c r="H403" s="149"/>
      <c r="I403" s="149">
        <f>INDEX('Step 4 Stage Discharge'!E$26:M$126,MATCH(F403,'Step 4 Stage Discharge'!E$26:E$126,1),9)+(INDEX('Step 4 Stage Discharge'!E$26:M$126,MATCH('Step 5 Routing'!F403,'Step 4 Stage Discharge'!E$26:E$126,1)+1,9)-INDEX('Step 4 Stage Discharge'!E$26:M$126,MATCH('Step 5 Routing'!F403,'Step 4 Stage Discharge'!E$26:E$126,1),9))*('Step 5 Routing'!F403-INDEX('Step 4 Stage Discharge'!E$26:M$126,MATCH('Step 5 Routing'!F403,'Step 4 Stage Discharge'!E$26:E$126,1),1))/(INDEX('Step 4 Stage Discharge'!E$26:M$126,MATCH('Step 5 Routing'!F403,'Step 4 Stage Discharge'!E$26:E$126,1)+1,1)-INDEX('Step 4 Stage Discharge'!E$26:M$126,MATCH('Step 5 Routing'!F403,'Step 4 Stage Discharge'!E$26:E$126,1),1))</f>
        <v>4.3639431710317386E-3</v>
      </c>
      <c r="J403" s="149"/>
      <c r="K403" s="6">
        <f t="shared" si="31"/>
        <v>0</v>
      </c>
      <c r="L403" s="6">
        <f t="shared" si="32"/>
        <v>0</v>
      </c>
    </row>
    <row r="404" spans="1:12">
      <c r="A404">
        <f t="shared" si="33"/>
        <v>391</v>
      </c>
      <c r="B404" s="136">
        <f>IF(C$5=Data!D$3,'Step 2 Inflow Hydrograph'!H448,IF(C$5=Data!D$4,'Step 2 Inflow Hydrograph'!I448,IF(C$5=Data!D$5,'Step 2 Inflow Hydrograph'!J448,'Step 2 Inflow Hydrograph'!K448)))</f>
        <v>0</v>
      </c>
      <c r="C404" s="127"/>
      <c r="D404" s="6">
        <f t="shared" si="30"/>
        <v>0</v>
      </c>
      <c r="E404" s="6"/>
      <c r="F404" s="6">
        <f t="shared" si="34"/>
        <v>0</v>
      </c>
      <c r="G404" s="149">
        <f>INDEX('Step 4 Stage Discharge'!E$26:F$126,MATCH(F404,'Step 4 Stage Discharge'!E$26:E$126,1),2)+(INDEX('Step 4 Stage Discharge'!E$26:F$126,MATCH(F404,'Step 4 Stage Discharge'!E$26:E$126,1)+1,2)-INDEX('Step 4 Stage Discharge'!E$26:F$126,MATCH(F404,'Step 4 Stage Discharge'!E$26:E$126,1),2))*(F404-INDEX('Step 4 Stage Discharge'!E$26:F$126,MATCH(F404,'Step 4 Stage Discharge'!E$26:E$126,1),1))/(INDEX('Step 4 Stage Discharge'!E$26:F$126,MATCH(F404,'Step 4 Stage Discharge'!E$26:E$126,1)+1,1)-INDEX('Step 4 Stage Discharge'!E$26:F$126,MATCH(F404,'Step 4 Stage Discharge'!E$26:E$126,1),1))</f>
        <v>0</v>
      </c>
      <c r="H404" s="149"/>
      <c r="I404" s="149">
        <f>INDEX('Step 4 Stage Discharge'!E$26:M$126,MATCH(F404,'Step 4 Stage Discharge'!E$26:E$126,1),9)+(INDEX('Step 4 Stage Discharge'!E$26:M$126,MATCH('Step 5 Routing'!F404,'Step 4 Stage Discharge'!E$26:E$126,1)+1,9)-INDEX('Step 4 Stage Discharge'!E$26:M$126,MATCH('Step 5 Routing'!F404,'Step 4 Stage Discharge'!E$26:E$126,1),9))*('Step 5 Routing'!F404-INDEX('Step 4 Stage Discharge'!E$26:M$126,MATCH('Step 5 Routing'!F404,'Step 4 Stage Discharge'!E$26:E$126,1),1))/(INDEX('Step 4 Stage Discharge'!E$26:M$126,MATCH('Step 5 Routing'!F404,'Step 4 Stage Discharge'!E$26:E$126,1)+1,1)-INDEX('Step 4 Stage Discharge'!E$26:M$126,MATCH('Step 5 Routing'!F404,'Step 4 Stage Discharge'!E$26:E$126,1),1))</f>
        <v>4.3639431710317386E-3</v>
      </c>
      <c r="J404" s="149"/>
      <c r="K404" s="6">
        <f t="shared" si="31"/>
        <v>0</v>
      </c>
      <c r="L404" s="6">
        <f t="shared" si="32"/>
        <v>0</v>
      </c>
    </row>
    <row r="405" spans="1:12">
      <c r="A405">
        <f t="shared" si="33"/>
        <v>392</v>
      </c>
      <c r="B405" s="136">
        <f>IF(C$5=Data!D$3,'Step 2 Inflow Hydrograph'!H449,IF(C$5=Data!D$4,'Step 2 Inflow Hydrograph'!I449,IF(C$5=Data!D$5,'Step 2 Inflow Hydrograph'!J449,'Step 2 Inflow Hydrograph'!K449)))</f>
        <v>0</v>
      </c>
      <c r="C405" s="127"/>
      <c r="D405" s="6">
        <f t="shared" si="30"/>
        <v>0</v>
      </c>
      <c r="E405" s="6"/>
      <c r="F405" s="6">
        <f t="shared" si="34"/>
        <v>0</v>
      </c>
      <c r="G405" s="149">
        <f>INDEX('Step 4 Stage Discharge'!E$26:F$126,MATCH(F405,'Step 4 Stage Discharge'!E$26:E$126,1),2)+(INDEX('Step 4 Stage Discharge'!E$26:F$126,MATCH(F405,'Step 4 Stage Discharge'!E$26:E$126,1)+1,2)-INDEX('Step 4 Stage Discharge'!E$26:F$126,MATCH(F405,'Step 4 Stage Discharge'!E$26:E$126,1),2))*(F405-INDEX('Step 4 Stage Discharge'!E$26:F$126,MATCH(F405,'Step 4 Stage Discharge'!E$26:E$126,1),1))/(INDEX('Step 4 Stage Discharge'!E$26:F$126,MATCH(F405,'Step 4 Stage Discharge'!E$26:E$126,1)+1,1)-INDEX('Step 4 Stage Discharge'!E$26:F$126,MATCH(F405,'Step 4 Stage Discharge'!E$26:E$126,1),1))</f>
        <v>0</v>
      </c>
      <c r="H405" s="149"/>
      <c r="I405" s="149">
        <f>INDEX('Step 4 Stage Discharge'!E$26:M$126,MATCH(F405,'Step 4 Stage Discharge'!E$26:E$126,1),9)+(INDEX('Step 4 Stage Discharge'!E$26:M$126,MATCH('Step 5 Routing'!F405,'Step 4 Stage Discharge'!E$26:E$126,1)+1,9)-INDEX('Step 4 Stage Discharge'!E$26:M$126,MATCH('Step 5 Routing'!F405,'Step 4 Stage Discharge'!E$26:E$126,1),9))*('Step 5 Routing'!F405-INDEX('Step 4 Stage Discharge'!E$26:M$126,MATCH('Step 5 Routing'!F405,'Step 4 Stage Discharge'!E$26:E$126,1),1))/(INDEX('Step 4 Stage Discharge'!E$26:M$126,MATCH('Step 5 Routing'!F405,'Step 4 Stage Discharge'!E$26:E$126,1)+1,1)-INDEX('Step 4 Stage Discharge'!E$26:M$126,MATCH('Step 5 Routing'!F405,'Step 4 Stage Discharge'!E$26:E$126,1),1))</f>
        <v>4.3639431710317386E-3</v>
      </c>
      <c r="J405" s="149"/>
      <c r="K405" s="6">
        <f t="shared" si="31"/>
        <v>0</v>
      </c>
      <c r="L405" s="6">
        <f t="shared" si="32"/>
        <v>0</v>
      </c>
    </row>
    <row r="406" spans="1:12">
      <c r="A406">
        <f t="shared" si="33"/>
        <v>393</v>
      </c>
      <c r="B406" s="136">
        <f>IF(C$5=Data!D$3,'Step 2 Inflow Hydrograph'!H450,IF(C$5=Data!D$4,'Step 2 Inflow Hydrograph'!I450,IF(C$5=Data!D$5,'Step 2 Inflow Hydrograph'!J450,'Step 2 Inflow Hydrograph'!K450)))</f>
        <v>0</v>
      </c>
      <c r="C406" s="127"/>
      <c r="D406" s="6">
        <f t="shared" si="30"/>
        <v>0</v>
      </c>
      <c r="E406" s="6"/>
      <c r="F406" s="6">
        <f t="shared" si="34"/>
        <v>0</v>
      </c>
      <c r="G406" s="149">
        <f>INDEX('Step 4 Stage Discharge'!E$26:F$126,MATCH(F406,'Step 4 Stage Discharge'!E$26:E$126,1),2)+(INDEX('Step 4 Stage Discharge'!E$26:F$126,MATCH(F406,'Step 4 Stage Discharge'!E$26:E$126,1)+1,2)-INDEX('Step 4 Stage Discharge'!E$26:F$126,MATCH(F406,'Step 4 Stage Discharge'!E$26:E$126,1),2))*(F406-INDEX('Step 4 Stage Discharge'!E$26:F$126,MATCH(F406,'Step 4 Stage Discharge'!E$26:E$126,1),1))/(INDEX('Step 4 Stage Discharge'!E$26:F$126,MATCH(F406,'Step 4 Stage Discharge'!E$26:E$126,1)+1,1)-INDEX('Step 4 Stage Discharge'!E$26:F$126,MATCH(F406,'Step 4 Stage Discharge'!E$26:E$126,1),1))</f>
        <v>0</v>
      </c>
      <c r="H406" s="149"/>
      <c r="I406" s="149">
        <f>INDEX('Step 4 Stage Discharge'!E$26:M$126,MATCH(F406,'Step 4 Stage Discharge'!E$26:E$126,1),9)+(INDEX('Step 4 Stage Discharge'!E$26:M$126,MATCH('Step 5 Routing'!F406,'Step 4 Stage Discharge'!E$26:E$126,1)+1,9)-INDEX('Step 4 Stage Discharge'!E$26:M$126,MATCH('Step 5 Routing'!F406,'Step 4 Stage Discharge'!E$26:E$126,1),9))*('Step 5 Routing'!F406-INDEX('Step 4 Stage Discharge'!E$26:M$126,MATCH('Step 5 Routing'!F406,'Step 4 Stage Discharge'!E$26:E$126,1),1))/(INDEX('Step 4 Stage Discharge'!E$26:M$126,MATCH('Step 5 Routing'!F406,'Step 4 Stage Discharge'!E$26:E$126,1)+1,1)-INDEX('Step 4 Stage Discharge'!E$26:M$126,MATCH('Step 5 Routing'!F406,'Step 4 Stage Discharge'!E$26:E$126,1),1))</f>
        <v>4.3639431710317386E-3</v>
      </c>
      <c r="J406" s="149"/>
      <c r="K406" s="6">
        <f t="shared" si="31"/>
        <v>0</v>
      </c>
      <c r="L406" s="6">
        <f t="shared" si="32"/>
        <v>0</v>
      </c>
    </row>
    <row r="407" spans="1:12">
      <c r="A407">
        <f t="shared" si="33"/>
        <v>394</v>
      </c>
      <c r="B407" s="136">
        <f>IF(C$5=Data!D$3,'Step 2 Inflow Hydrograph'!H451,IF(C$5=Data!D$4,'Step 2 Inflow Hydrograph'!I451,IF(C$5=Data!D$5,'Step 2 Inflow Hydrograph'!J451,'Step 2 Inflow Hydrograph'!K451)))</f>
        <v>0</v>
      </c>
      <c r="C407" s="127"/>
      <c r="D407" s="6">
        <f t="shared" si="30"/>
        <v>0</v>
      </c>
      <c r="E407" s="6"/>
      <c r="F407" s="6">
        <f t="shared" si="34"/>
        <v>0</v>
      </c>
      <c r="G407" s="149">
        <f>INDEX('Step 4 Stage Discharge'!E$26:F$126,MATCH(F407,'Step 4 Stage Discharge'!E$26:E$126,1),2)+(INDEX('Step 4 Stage Discharge'!E$26:F$126,MATCH(F407,'Step 4 Stage Discharge'!E$26:E$126,1)+1,2)-INDEX('Step 4 Stage Discharge'!E$26:F$126,MATCH(F407,'Step 4 Stage Discharge'!E$26:E$126,1),2))*(F407-INDEX('Step 4 Stage Discharge'!E$26:F$126,MATCH(F407,'Step 4 Stage Discharge'!E$26:E$126,1),1))/(INDEX('Step 4 Stage Discharge'!E$26:F$126,MATCH(F407,'Step 4 Stage Discharge'!E$26:E$126,1)+1,1)-INDEX('Step 4 Stage Discharge'!E$26:F$126,MATCH(F407,'Step 4 Stage Discharge'!E$26:E$126,1),1))</f>
        <v>0</v>
      </c>
      <c r="H407" s="149"/>
      <c r="I407" s="149">
        <f>INDEX('Step 4 Stage Discharge'!E$26:M$126,MATCH(F407,'Step 4 Stage Discharge'!E$26:E$126,1),9)+(INDEX('Step 4 Stage Discharge'!E$26:M$126,MATCH('Step 5 Routing'!F407,'Step 4 Stage Discharge'!E$26:E$126,1)+1,9)-INDEX('Step 4 Stage Discharge'!E$26:M$126,MATCH('Step 5 Routing'!F407,'Step 4 Stage Discharge'!E$26:E$126,1),9))*('Step 5 Routing'!F407-INDEX('Step 4 Stage Discharge'!E$26:M$126,MATCH('Step 5 Routing'!F407,'Step 4 Stage Discharge'!E$26:E$126,1),1))/(INDEX('Step 4 Stage Discharge'!E$26:M$126,MATCH('Step 5 Routing'!F407,'Step 4 Stage Discharge'!E$26:E$126,1)+1,1)-INDEX('Step 4 Stage Discharge'!E$26:M$126,MATCH('Step 5 Routing'!F407,'Step 4 Stage Discharge'!E$26:E$126,1),1))</f>
        <v>4.3639431710317386E-3</v>
      </c>
      <c r="J407" s="149"/>
      <c r="K407" s="6">
        <f t="shared" si="31"/>
        <v>0</v>
      </c>
      <c r="L407" s="6">
        <f t="shared" si="32"/>
        <v>0</v>
      </c>
    </row>
    <row r="408" spans="1:12">
      <c r="A408">
        <f t="shared" si="33"/>
        <v>395</v>
      </c>
      <c r="B408" s="136">
        <f>IF(C$5=Data!D$3,'Step 2 Inflow Hydrograph'!H452,IF(C$5=Data!D$4,'Step 2 Inflow Hydrograph'!I452,IF(C$5=Data!D$5,'Step 2 Inflow Hydrograph'!J452,'Step 2 Inflow Hydrograph'!K452)))</f>
        <v>0</v>
      </c>
      <c r="C408" s="127"/>
      <c r="D408" s="6">
        <f t="shared" si="30"/>
        <v>0</v>
      </c>
      <c r="E408" s="6"/>
      <c r="F408" s="6">
        <f t="shared" si="34"/>
        <v>0</v>
      </c>
      <c r="G408" s="149">
        <f>INDEX('Step 4 Stage Discharge'!E$26:F$126,MATCH(F408,'Step 4 Stage Discharge'!E$26:E$126,1),2)+(INDEX('Step 4 Stage Discharge'!E$26:F$126,MATCH(F408,'Step 4 Stage Discharge'!E$26:E$126,1)+1,2)-INDEX('Step 4 Stage Discharge'!E$26:F$126,MATCH(F408,'Step 4 Stage Discharge'!E$26:E$126,1),2))*(F408-INDEX('Step 4 Stage Discharge'!E$26:F$126,MATCH(F408,'Step 4 Stage Discharge'!E$26:E$126,1),1))/(INDEX('Step 4 Stage Discharge'!E$26:F$126,MATCH(F408,'Step 4 Stage Discharge'!E$26:E$126,1)+1,1)-INDEX('Step 4 Stage Discharge'!E$26:F$126,MATCH(F408,'Step 4 Stage Discharge'!E$26:E$126,1),1))</f>
        <v>0</v>
      </c>
      <c r="H408" s="149"/>
      <c r="I408" s="149">
        <f>INDEX('Step 4 Stage Discharge'!E$26:M$126,MATCH(F408,'Step 4 Stage Discharge'!E$26:E$126,1),9)+(INDEX('Step 4 Stage Discharge'!E$26:M$126,MATCH('Step 5 Routing'!F408,'Step 4 Stage Discharge'!E$26:E$126,1)+1,9)-INDEX('Step 4 Stage Discharge'!E$26:M$126,MATCH('Step 5 Routing'!F408,'Step 4 Stage Discharge'!E$26:E$126,1),9))*('Step 5 Routing'!F408-INDEX('Step 4 Stage Discharge'!E$26:M$126,MATCH('Step 5 Routing'!F408,'Step 4 Stage Discharge'!E$26:E$126,1),1))/(INDEX('Step 4 Stage Discharge'!E$26:M$126,MATCH('Step 5 Routing'!F408,'Step 4 Stage Discharge'!E$26:E$126,1)+1,1)-INDEX('Step 4 Stage Discharge'!E$26:M$126,MATCH('Step 5 Routing'!F408,'Step 4 Stage Discharge'!E$26:E$126,1),1))</f>
        <v>4.3639431710317386E-3</v>
      </c>
      <c r="J408" s="149"/>
      <c r="K408" s="6">
        <f t="shared" si="31"/>
        <v>0</v>
      </c>
      <c r="L408" s="6">
        <f t="shared" si="32"/>
        <v>0</v>
      </c>
    </row>
    <row r="409" spans="1:12">
      <c r="A409">
        <f t="shared" si="33"/>
        <v>396</v>
      </c>
      <c r="B409" s="136">
        <f>IF(C$5=Data!D$3,'Step 2 Inflow Hydrograph'!H453,IF(C$5=Data!D$4,'Step 2 Inflow Hydrograph'!I453,IF(C$5=Data!D$5,'Step 2 Inflow Hydrograph'!J453,'Step 2 Inflow Hydrograph'!K453)))</f>
        <v>0</v>
      </c>
      <c r="C409" s="127"/>
      <c r="D409" s="6">
        <f t="shared" si="30"/>
        <v>0</v>
      </c>
      <c r="E409" s="6"/>
      <c r="F409" s="6">
        <f t="shared" si="34"/>
        <v>0</v>
      </c>
      <c r="G409" s="149">
        <f>INDEX('Step 4 Stage Discharge'!E$26:F$126,MATCH(F409,'Step 4 Stage Discharge'!E$26:E$126,1),2)+(INDEX('Step 4 Stage Discharge'!E$26:F$126,MATCH(F409,'Step 4 Stage Discharge'!E$26:E$126,1)+1,2)-INDEX('Step 4 Stage Discharge'!E$26:F$126,MATCH(F409,'Step 4 Stage Discharge'!E$26:E$126,1),2))*(F409-INDEX('Step 4 Stage Discharge'!E$26:F$126,MATCH(F409,'Step 4 Stage Discharge'!E$26:E$126,1),1))/(INDEX('Step 4 Stage Discharge'!E$26:F$126,MATCH(F409,'Step 4 Stage Discharge'!E$26:E$126,1)+1,1)-INDEX('Step 4 Stage Discharge'!E$26:F$126,MATCH(F409,'Step 4 Stage Discharge'!E$26:E$126,1),1))</f>
        <v>0</v>
      </c>
      <c r="H409" s="149"/>
      <c r="I409" s="149">
        <f>INDEX('Step 4 Stage Discharge'!E$26:M$126,MATCH(F409,'Step 4 Stage Discharge'!E$26:E$126,1),9)+(INDEX('Step 4 Stage Discharge'!E$26:M$126,MATCH('Step 5 Routing'!F409,'Step 4 Stage Discharge'!E$26:E$126,1)+1,9)-INDEX('Step 4 Stage Discharge'!E$26:M$126,MATCH('Step 5 Routing'!F409,'Step 4 Stage Discharge'!E$26:E$126,1),9))*('Step 5 Routing'!F409-INDEX('Step 4 Stage Discharge'!E$26:M$126,MATCH('Step 5 Routing'!F409,'Step 4 Stage Discharge'!E$26:E$126,1),1))/(INDEX('Step 4 Stage Discharge'!E$26:M$126,MATCH('Step 5 Routing'!F409,'Step 4 Stage Discharge'!E$26:E$126,1)+1,1)-INDEX('Step 4 Stage Discharge'!E$26:M$126,MATCH('Step 5 Routing'!F409,'Step 4 Stage Discharge'!E$26:E$126,1),1))</f>
        <v>4.3639431710317386E-3</v>
      </c>
      <c r="J409" s="149"/>
      <c r="K409" s="6">
        <f t="shared" si="31"/>
        <v>0</v>
      </c>
      <c r="L409" s="6">
        <f t="shared" si="32"/>
        <v>0</v>
      </c>
    </row>
    <row r="410" spans="1:12">
      <c r="A410">
        <f t="shared" si="33"/>
        <v>397</v>
      </c>
      <c r="B410" s="136">
        <f>IF(C$5=Data!D$3,'Step 2 Inflow Hydrograph'!H454,IF(C$5=Data!D$4,'Step 2 Inflow Hydrograph'!I454,IF(C$5=Data!D$5,'Step 2 Inflow Hydrograph'!J454,'Step 2 Inflow Hydrograph'!K454)))</f>
        <v>0</v>
      </c>
      <c r="C410" s="127"/>
      <c r="D410" s="6">
        <f t="shared" si="30"/>
        <v>0</v>
      </c>
      <c r="E410" s="6"/>
      <c r="F410" s="6">
        <f t="shared" si="34"/>
        <v>0</v>
      </c>
      <c r="G410" s="149">
        <f>INDEX('Step 4 Stage Discharge'!E$26:F$126,MATCH(F410,'Step 4 Stage Discharge'!E$26:E$126,1),2)+(INDEX('Step 4 Stage Discharge'!E$26:F$126,MATCH(F410,'Step 4 Stage Discharge'!E$26:E$126,1)+1,2)-INDEX('Step 4 Stage Discharge'!E$26:F$126,MATCH(F410,'Step 4 Stage Discharge'!E$26:E$126,1),2))*(F410-INDEX('Step 4 Stage Discharge'!E$26:F$126,MATCH(F410,'Step 4 Stage Discharge'!E$26:E$126,1),1))/(INDEX('Step 4 Stage Discharge'!E$26:F$126,MATCH(F410,'Step 4 Stage Discharge'!E$26:E$126,1)+1,1)-INDEX('Step 4 Stage Discharge'!E$26:F$126,MATCH(F410,'Step 4 Stage Discharge'!E$26:E$126,1),1))</f>
        <v>0</v>
      </c>
      <c r="H410" s="149"/>
      <c r="I410" s="149">
        <f>INDEX('Step 4 Stage Discharge'!E$26:M$126,MATCH(F410,'Step 4 Stage Discharge'!E$26:E$126,1),9)+(INDEX('Step 4 Stage Discharge'!E$26:M$126,MATCH('Step 5 Routing'!F410,'Step 4 Stage Discharge'!E$26:E$126,1)+1,9)-INDEX('Step 4 Stage Discharge'!E$26:M$126,MATCH('Step 5 Routing'!F410,'Step 4 Stage Discharge'!E$26:E$126,1),9))*('Step 5 Routing'!F410-INDEX('Step 4 Stage Discharge'!E$26:M$126,MATCH('Step 5 Routing'!F410,'Step 4 Stage Discharge'!E$26:E$126,1),1))/(INDEX('Step 4 Stage Discharge'!E$26:M$126,MATCH('Step 5 Routing'!F410,'Step 4 Stage Discharge'!E$26:E$126,1)+1,1)-INDEX('Step 4 Stage Discharge'!E$26:M$126,MATCH('Step 5 Routing'!F410,'Step 4 Stage Discharge'!E$26:E$126,1),1))</f>
        <v>4.3639431710317386E-3</v>
      </c>
      <c r="J410" s="149"/>
      <c r="K410" s="6">
        <f t="shared" si="31"/>
        <v>0</v>
      </c>
      <c r="L410" s="6">
        <f t="shared" si="32"/>
        <v>0</v>
      </c>
    </row>
    <row r="411" spans="1:12">
      <c r="A411">
        <f t="shared" si="33"/>
        <v>398</v>
      </c>
      <c r="B411" s="136">
        <f>IF(C$5=Data!D$3,'Step 2 Inflow Hydrograph'!H455,IF(C$5=Data!D$4,'Step 2 Inflow Hydrograph'!I455,IF(C$5=Data!D$5,'Step 2 Inflow Hydrograph'!J455,'Step 2 Inflow Hydrograph'!K455)))</f>
        <v>0</v>
      </c>
      <c r="C411" s="127"/>
      <c r="D411" s="6">
        <f t="shared" si="30"/>
        <v>0</v>
      </c>
      <c r="E411" s="6"/>
      <c r="F411" s="6">
        <f t="shared" si="34"/>
        <v>0</v>
      </c>
      <c r="G411" s="149">
        <f>INDEX('Step 4 Stage Discharge'!E$26:F$126,MATCH(F411,'Step 4 Stage Discharge'!E$26:E$126,1),2)+(INDEX('Step 4 Stage Discharge'!E$26:F$126,MATCH(F411,'Step 4 Stage Discharge'!E$26:E$126,1)+1,2)-INDEX('Step 4 Stage Discharge'!E$26:F$126,MATCH(F411,'Step 4 Stage Discharge'!E$26:E$126,1),2))*(F411-INDEX('Step 4 Stage Discharge'!E$26:F$126,MATCH(F411,'Step 4 Stage Discharge'!E$26:E$126,1),1))/(INDEX('Step 4 Stage Discharge'!E$26:F$126,MATCH(F411,'Step 4 Stage Discharge'!E$26:E$126,1)+1,1)-INDEX('Step 4 Stage Discharge'!E$26:F$126,MATCH(F411,'Step 4 Stage Discharge'!E$26:E$126,1),1))</f>
        <v>0</v>
      </c>
      <c r="H411" s="149"/>
      <c r="I411" s="149">
        <f>INDEX('Step 4 Stage Discharge'!E$26:M$126,MATCH(F411,'Step 4 Stage Discharge'!E$26:E$126,1),9)+(INDEX('Step 4 Stage Discharge'!E$26:M$126,MATCH('Step 5 Routing'!F411,'Step 4 Stage Discharge'!E$26:E$126,1)+1,9)-INDEX('Step 4 Stage Discharge'!E$26:M$126,MATCH('Step 5 Routing'!F411,'Step 4 Stage Discharge'!E$26:E$126,1),9))*('Step 5 Routing'!F411-INDEX('Step 4 Stage Discharge'!E$26:M$126,MATCH('Step 5 Routing'!F411,'Step 4 Stage Discharge'!E$26:E$126,1),1))/(INDEX('Step 4 Stage Discharge'!E$26:M$126,MATCH('Step 5 Routing'!F411,'Step 4 Stage Discharge'!E$26:E$126,1)+1,1)-INDEX('Step 4 Stage Discharge'!E$26:M$126,MATCH('Step 5 Routing'!F411,'Step 4 Stage Discharge'!E$26:E$126,1),1))</f>
        <v>4.3639431710317386E-3</v>
      </c>
      <c r="J411" s="149"/>
      <c r="K411" s="6">
        <f t="shared" si="31"/>
        <v>0</v>
      </c>
      <c r="L411" s="6">
        <f t="shared" si="32"/>
        <v>0</v>
      </c>
    </row>
    <row r="412" spans="1:12">
      <c r="A412">
        <f t="shared" si="33"/>
        <v>399</v>
      </c>
      <c r="B412" s="136">
        <f>IF(C$5=Data!D$3,'Step 2 Inflow Hydrograph'!H456,IF(C$5=Data!D$4,'Step 2 Inflow Hydrograph'!I456,IF(C$5=Data!D$5,'Step 2 Inflow Hydrograph'!J456,'Step 2 Inflow Hydrograph'!K456)))</f>
        <v>0</v>
      </c>
      <c r="C412" s="127"/>
      <c r="D412" s="6">
        <f t="shared" si="30"/>
        <v>0</v>
      </c>
      <c r="E412" s="6"/>
      <c r="F412" s="6">
        <f t="shared" si="34"/>
        <v>0</v>
      </c>
      <c r="G412" s="149">
        <f>INDEX('Step 4 Stage Discharge'!E$26:F$126,MATCH(F412,'Step 4 Stage Discharge'!E$26:E$126,1),2)+(INDEX('Step 4 Stage Discharge'!E$26:F$126,MATCH(F412,'Step 4 Stage Discharge'!E$26:E$126,1)+1,2)-INDEX('Step 4 Stage Discharge'!E$26:F$126,MATCH(F412,'Step 4 Stage Discharge'!E$26:E$126,1),2))*(F412-INDEX('Step 4 Stage Discharge'!E$26:F$126,MATCH(F412,'Step 4 Stage Discharge'!E$26:E$126,1),1))/(INDEX('Step 4 Stage Discharge'!E$26:F$126,MATCH(F412,'Step 4 Stage Discharge'!E$26:E$126,1)+1,1)-INDEX('Step 4 Stage Discharge'!E$26:F$126,MATCH(F412,'Step 4 Stage Discharge'!E$26:E$126,1),1))</f>
        <v>0</v>
      </c>
      <c r="H412" s="149"/>
      <c r="I412" s="149">
        <f>INDEX('Step 4 Stage Discharge'!E$26:M$126,MATCH(F412,'Step 4 Stage Discharge'!E$26:E$126,1),9)+(INDEX('Step 4 Stage Discharge'!E$26:M$126,MATCH('Step 5 Routing'!F412,'Step 4 Stage Discharge'!E$26:E$126,1)+1,9)-INDEX('Step 4 Stage Discharge'!E$26:M$126,MATCH('Step 5 Routing'!F412,'Step 4 Stage Discharge'!E$26:E$126,1),9))*('Step 5 Routing'!F412-INDEX('Step 4 Stage Discharge'!E$26:M$126,MATCH('Step 5 Routing'!F412,'Step 4 Stage Discharge'!E$26:E$126,1),1))/(INDEX('Step 4 Stage Discharge'!E$26:M$126,MATCH('Step 5 Routing'!F412,'Step 4 Stage Discharge'!E$26:E$126,1)+1,1)-INDEX('Step 4 Stage Discharge'!E$26:M$126,MATCH('Step 5 Routing'!F412,'Step 4 Stage Discharge'!E$26:E$126,1),1))</f>
        <v>4.3639431710317386E-3</v>
      </c>
      <c r="J412" s="149"/>
      <c r="K412" s="6">
        <f t="shared" si="31"/>
        <v>0</v>
      </c>
      <c r="L412" s="6">
        <f t="shared" si="32"/>
        <v>0</v>
      </c>
    </row>
    <row r="413" spans="1:12">
      <c r="A413">
        <f t="shared" si="33"/>
        <v>400</v>
      </c>
      <c r="B413" s="136">
        <f>IF(C$5=Data!D$3,'Step 2 Inflow Hydrograph'!H457,IF(C$5=Data!D$4,'Step 2 Inflow Hydrograph'!I457,IF(C$5=Data!D$5,'Step 2 Inflow Hydrograph'!J457,'Step 2 Inflow Hydrograph'!K457)))</f>
        <v>0</v>
      </c>
      <c r="C413" s="127"/>
      <c r="D413" s="6">
        <f t="shared" si="30"/>
        <v>0</v>
      </c>
      <c r="E413" s="6"/>
      <c r="F413" s="6">
        <f t="shared" si="34"/>
        <v>0</v>
      </c>
      <c r="G413" s="149">
        <f>INDEX('Step 4 Stage Discharge'!E$26:F$126,MATCH(F413,'Step 4 Stage Discharge'!E$26:E$126,1),2)+(INDEX('Step 4 Stage Discharge'!E$26:F$126,MATCH(F413,'Step 4 Stage Discharge'!E$26:E$126,1)+1,2)-INDEX('Step 4 Stage Discharge'!E$26:F$126,MATCH(F413,'Step 4 Stage Discharge'!E$26:E$126,1),2))*(F413-INDEX('Step 4 Stage Discharge'!E$26:F$126,MATCH(F413,'Step 4 Stage Discharge'!E$26:E$126,1),1))/(INDEX('Step 4 Stage Discharge'!E$26:F$126,MATCH(F413,'Step 4 Stage Discharge'!E$26:E$126,1)+1,1)-INDEX('Step 4 Stage Discharge'!E$26:F$126,MATCH(F413,'Step 4 Stage Discharge'!E$26:E$126,1),1))</f>
        <v>0</v>
      </c>
      <c r="H413" s="149"/>
      <c r="I413" s="149">
        <f>INDEX('Step 4 Stage Discharge'!E$26:M$126,MATCH(F413,'Step 4 Stage Discharge'!E$26:E$126,1),9)+(INDEX('Step 4 Stage Discharge'!E$26:M$126,MATCH('Step 5 Routing'!F413,'Step 4 Stage Discharge'!E$26:E$126,1)+1,9)-INDEX('Step 4 Stage Discharge'!E$26:M$126,MATCH('Step 5 Routing'!F413,'Step 4 Stage Discharge'!E$26:E$126,1),9))*('Step 5 Routing'!F413-INDEX('Step 4 Stage Discharge'!E$26:M$126,MATCH('Step 5 Routing'!F413,'Step 4 Stage Discharge'!E$26:E$126,1),1))/(INDEX('Step 4 Stage Discharge'!E$26:M$126,MATCH('Step 5 Routing'!F413,'Step 4 Stage Discharge'!E$26:E$126,1)+1,1)-INDEX('Step 4 Stage Discharge'!E$26:M$126,MATCH('Step 5 Routing'!F413,'Step 4 Stage Discharge'!E$26:E$126,1),1))</f>
        <v>4.3639431710317386E-3</v>
      </c>
      <c r="J413" s="149"/>
      <c r="K413" s="6">
        <f t="shared" si="31"/>
        <v>0</v>
      </c>
      <c r="L413" s="6">
        <f t="shared" si="32"/>
        <v>0</v>
      </c>
    </row>
    <row r="414" spans="1:12">
      <c r="A414">
        <f t="shared" si="33"/>
        <v>401</v>
      </c>
      <c r="B414" s="136">
        <f>IF(C$5=Data!D$3,'Step 2 Inflow Hydrograph'!H458,IF(C$5=Data!D$4,'Step 2 Inflow Hydrograph'!I458,IF(C$5=Data!D$5,'Step 2 Inflow Hydrograph'!J458,'Step 2 Inflow Hydrograph'!K458)))</f>
        <v>0</v>
      </c>
      <c r="C414" s="127"/>
      <c r="D414" s="6">
        <f t="shared" si="30"/>
        <v>0</v>
      </c>
      <c r="E414" s="6"/>
      <c r="F414" s="6">
        <f t="shared" si="34"/>
        <v>0</v>
      </c>
      <c r="G414" s="149">
        <f>INDEX('Step 4 Stage Discharge'!E$26:F$126,MATCH(F414,'Step 4 Stage Discharge'!E$26:E$126,1),2)+(INDEX('Step 4 Stage Discharge'!E$26:F$126,MATCH(F414,'Step 4 Stage Discharge'!E$26:E$126,1)+1,2)-INDEX('Step 4 Stage Discharge'!E$26:F$126,MATCH(F414,'Step 4 Stage Discharge'!E$26:E$126,1),2))*(F414-INDEX('Step 4 Stage Discharge'!E$26:F$126,MATCH(F414,'Step 4 Stage Discharge'!E$26:E$126,1),1))/(INDEX('Step 4 Stage Discharge'!E$26:F$126,MATCH(F414,'Step 4 Stage Discharge'!E$26:E$126,1)+1,1)-INDEX('Step 4 Stage Discharge'!E$26:F$126,MATCH(F414,'Step 4 Stage Discharge'!E$26:E$126,1),1))</f>
        <v>0</v>
      </c>
      <c r="H414" s="149"/>
      <c r="I414" s="149">
        <f>INDEX('Step 4 Stage Discharge'!E$26:M$126,MATCH(F414,'Step 4 Stage Discharge'!E$26:E$126,1),9)+(INDEX('Step 4 Stage Discharge'!E$26:M$126,MATCH('Step 5 Routing'!F414,'Step 4 Stage Discharge'!E$26:E$126,1)+1,9)-INDEX('Step 4 Stage Discharge'!E$26:M$126,MATCH('Step 5 Routing'!F414,'Step 4 Stage Discharge'!E$26:E$126,1),9))*('Step 5 Routing'!F414-INDEX('Step 4 Stage Discharge'!E$26:M$126,MATCH('Step 5 Routing'!F414,'Step 4 Stage Discharge'!E$26:E$126,1),1))/(INDEX('Step 4 Stage Discharge'!E$26:M$126,MATCH('Step 5 Routing'!F414,'Step 4 Stage Discharge'!E$26:E$126,1)+1,1)-INDEX('Step 4 Stage Discharge'!E$26:M$126,MATCH('Step 5 Routing'!F414,'Step 4 Stage Discharge'!E$26:E$126,1),1))</f>
        <v>4.3639431710317386E-3</v>
      </c>
      <c r="J414" s="149"/>
      <c r="K414" s="6">
        <f t="shared" si="31"/>
        <v>0</v>
      </c>
      <c r="L414" s="6">
        <f t="shared" si="32"/>
        <v>0</v>
      </c>
    </row>
    <row r="415" spans="1:12">
      <c r="A415">
        <f t="shared" si="33"/>
        <v>402</v>
      </c>
      <c r="B415" s="136">
        <f>IF(C$5=Data!D$3,'Step 2 Inflow Hydrograph'!H459,IF(C$5=Data!D$4,'Step 2 Inflow Hydrograph'!I459,IF(C$5=Data!D$5,'Step 2 Inflow Hydrograph'!J459,'Step 2 Inflow Hydrograph'!K459)))</f>
        <v>0</v>
      </c>
      <c r="C415" s="127"/>
      <c r="D415" s="6">
        <f t="shared" si="30"/>
        <v>0</v>
      </c>
      <c r="E415" s="6"/>
      <c r="F415" s="6">
        <f t="shared" si="34"/>
        <v>0</v>
      </c>
      <c r="G415" s="149">
        <f>INDEX('Step 4 Stage Discharge'!E$26:F$126,MATCH(F415,'Step 4 Stage Discharge'!E$26:E$126,1),2)+(INDEX('Step 4 Stage Discharge'!E$26:F$126,MATCH(F415,'Step 4 Stage Discharge'!E$26:E$126,1)+1,2)-INDEX('Step 4 Stage Discharge'!E$26:F$126,MATCH(F415,'Step 4 Stage Discharge'!E$26:E$126,1),2))*(F415-INDEX('Step 4 Stage Discharge'!E$26:F$126,MATCH(F415,'Step 4 Stage Discharge'!E$26:E$126,1),1))/(INDEX('Step 4 Stage Discharge'!E$26:F$126,MATCH(F415,'Step 4 Stage Discharge'!E$26:E$126,1)+1,1)-INDEX('Step 4 Stage Discharge'!E$26:F$126,MATCH(F415,'Step 4 Stage Discharge'!E$26:E$126,1),1))</f>
        <v>0</v>
      </c>
      <c r="H415" s="149"/>
      <c r="I415" s="149">
        <f>INDEX('Step 4 Stage Discharge'!E$26:M$126,MATCH(F415,'Step 4 Stage Discharge'!E$26:E$126,1),9)+(INDEX('Step 4 Stage Discharge'!E$26:M$126,MATCH('Step 5 Routing'!F415,'Step 4 Stage Discharge'!E$26:E$126,1)+1,9)-INDEX('Step 4 Stage Discharge'!E$26:M$126,MATCH('Step 5 Routing'!F415,'Step 4 Stage Discharge'!E$26:E$126,1),9))*('Step 5 Routing'!F415-INDEX('Step 4 Stage Discharge'!E$26:M$126,MATCH('Step 5 Routing'!F415,'Step 4 Stage Discharge'!E$26:E$126,1),1))/(INDEX('Step 4 Stage Discharge'!E$26:M$126,MATCH('Step 5 Routing'!F415,'Step 4 Stage Discharge'!E$26:E$126,1)+1,1)-INDEX('Step 4 Stage Discharge'!E$26:M$126,MATCH('Step 5 Routing'!F415,'Step 4 Stage Discharge'!E$26:E$126,1),1))</f>
        <v>4.3639431710317386E-3</v>
      </c>
      <c r="J415" s="149"/>
      <c r="K415" s="6">
        <f t="shared" si="31"/>
        <v>0</v>
      </c>
      <c r="L415" s="6">
        <f t="shared" si="32"/>
        <v>0</v>
      </c>
    </row>
    <row r="416" spans="1:12">
      <c r="A416">
        <f t="shared" si="33"/>
        <v>403</v>
      </c>
      <c r="B416" s="136">
        <f>IF(C$5=Data!D$3,'Step 2 Inflow Hydrograph'!H460,IF(C$5=Data!D$4,'Step 2 Inflow Hydrograph'!I460,IF(C$5=Data!D$5,'Step 2 Inflow Hydrograph'!J460,'Step 2 Inflow Hydrograph'!K460)))</f>
        <v>0</v>
      </c>
      <c r="C416" s="127"/>
      <c r="D416" s="6">
        <f t="shared" si="30"/>
        <v>0</v>
      </c>
      <c r="E416" s="6"/>
      <c r="F416" s="6">
        <f t="shared" si="34"/>
        <v>0</v>
      </c>
      <c r="G416" s="149">
        <f>INDEX('Step 4 Stage Discharge'!E$26:F$126,MATCH(F416,'Step 4 Stage Discharge'!E$26:E$126,1),2)+(INDEX('Step 4 Stage Discharge'!E$26:F$126,MATCH(F416,'Step 4 Stage Discharge'!E$26:E$126,1)+1,2)-INDEX('Step 4 Stage Discharge'!E$26:F$126,MATCH(F416,'Step 4 Stage Discharge'!E$26:E$126,1),2))*(F416-INDEX('Step 4 Stage Discharge'!E$26:F$126,MATCH(F416,'Step 4 Stage Discharge'!E$26:E$126,1),1))/(INDEX('Step 4 Stage Discharge'!E$26:F$126,MATCH(F416,'Step 4 Stage Discharge'!E$26:E$126,1)+1,1)-INDEX('Step 4 Stage Discharge'!E$26:F$126,MATCH(F416,'Step 4 Stage Discharge'!E$26:E$126,1),1))</f>
        <v>0</v>
      </c>
      <c r="H416" s="149"/>
      <c r="I416" s="149">
        <f>INDEX('Step 4 Stage Discharge'!E$26:M$126,MATCH(F416,'Step 4 Stage Discharge'!E$26:E$126,1),9)+(INDEX('Step 4 Stage Discharge'!E$26:M$126,MATCH('Step 5 Routing'!F416,'Step 4 Stage Discharge'!E$26:E$126,1)+1,9)-INDEX('Step 4 Stage Discharge'!E$26:M$126,MATCH('Step 5 Routing'!F416,'Step 4 Stage Discharge'!E$26:E$126,1),9))*('Step 5 Routing'!F416-INDEX('Step 4 Stage Discharge'!E$26:M$126,MATCH('Step 5 Routing'!F416,'Step 4 Stage Discharge'!E$26:E$126,1),1))/(INDEX('Step 4 Stage Discharge'!E$26:M$126,MATCH('Step 5 Routing'!F416,'Step 4 Stage Discharge'!E$26:E$126,1)+1,1)-INDEX('Step 4 Stage Discharge'!E$26:M$126,MATCH('Step 5 Routing'!F416,'Step 4 Stage Discharge'!E$26:E$126,1),1))</f>
        <v>4.3639431710317386E-3</v>
      </c>
      <c r="J416" s="149"/>
      <c r="K416" s="6">
        <f t="shared" si="31"/>
        <v>0</v>
      </c>
      <c r="L416" s="6">
        <f t="shared" si="32"/>
        <v>0</v>
      </c>
    </row>
    <row r="417" spans="1:12">
      <c r="A417">
        <f t="shared" si="33"/>
        <v>404</v>
      </c>
      <c r="B417" s="136">
        <f>IF(C$5=Data!D$3,'Step 2 Inflow Hydrograph'!H461,IF(C$5=Data!D$4,'Step 2 Inflow Hydrograph'!I461,IF(C$5=Data!D$5,'Step 2 Inflow Hydrograph'!J461,'Step 2 Inflow Hydrograph'!K461)))</f>
        <v>0</v>
      </c>
      <c r="C417" s="127"/>
      <c r="D417" s="6">
        <f t="shared" si="30"/>
        <v>0</v>
      </c>
      <c r="E417" s="6"/>
      <c r="F417" s="6">
        <f t="shared" si="34"/>
        <v>0</v>
      </c>
      <c r="G417" s="149">
        <f>INDEX('Step 4 Stage Discharge'!E$26:F$126,MATCH(F417,'Step 4 Stage Discharge'!E$26:E$126,1),2)+(INDEX('Step 4 Stage Discharge'!E$26:F$126,MATCH(F417,'Step 4 Stage Discharge'!E$26:E$126,1)+1,2)-INDEX('Step 4 Stage Discharge'!E$26:F$126,MATCH(F417,'Step 4 Stage Discharge'!E$26:E$126,1),2))*(F417-INDEX('Step 4 Stage Discharge'!E$26:F$126,MATCH(F417,'Step 4 Stage Discharge'!E$26:E$126,1),1))/(INDEX('Step 4 Stage Discharge'!E$26:F$126,MATCH(F417,'Step 4 Stage Discharge'!E$26:E$126,1)+1,1)-INDEX('Step 4 Stage Discharge'!E$26:F$126,MATCH(F417,'Step 4 Stage Discharge'!E$26:E$126,1),1))</f>
        <v>0</v>
      </c>
      <c r="H417" s="149"/>
      <c r="I417" s="149">
        <f>INDEX('Step 4 Stage Discharge'!E$26:M$126,MATCH(F417,'Step 4 Stage Discharge'!E$26:E$126,1),9)+(INDEX('Step 4 Stage Discharge'!E$26:M$126,MATCH('Step 5 Routing'!F417,'Step 4 Stage Discharge'!E$26:E$126,1)+1,9)-INDEX('Step 4 Stage Discharge'!E$26:M$126,MATCH('Step 5 Routing'!F417,'Step 4 Stage Discharge'!E$26:E$126,1),9))*('Step 5 Routing'!F417-INDEX('Step 4 Stage Discharge'!E$26:M$126,MATCH('Step 5 Routing'!F417,'Step 4 Stage Discharge'!E$26:E$126,1),1))/(INDEX('Step 4 Stage Discharge'!E$26:M$126,MATCH('Step 5 Routing'!F417,'Step 4 Stage Discharge'!E$26:E$126,1)+1,1)-INDEX('Step 4 Stage Discharge'!E$26:M$126,MATCH('Step 5 Routing'!F417,'Step 4 Stage Discharge'!E$26:E$126,1),1))</f>
        <v>4.3639431710317386E-3</v>
      </c>
      <c r="J417" s="149"/>
      <c r="K417" s="6">
        <f t="shared" si="31"/>
        <v>0</v>
      </c>
      <c r="L417" s="6">
        <f t="shared" si="32"/>
        <v>0</v>
      </c>
    </row>
    <row r="418" spans="1:12">
      <c r="A418">
        <f t="shared" si="33"/>
        <v>405</v>
      </c>
      <c r="B418" s="136">
        <f>IF(C$5=Data!D$3,'Step 2 Inflow Hydrograph'!H462,IF(C$5=Data!D$4,'Step 2 Inflow Hydrograph'!I462,IF(C$5=Data!D$5,'Step 2 Inflow Hydrograph'!J462,'Step 2 Inflow Hydrograph'!K462)))</f>
        <v>0</v>
      </c>
      <c r="C418" s="127"/>
      <c r="D418" s="6">
        <f t="shared" si="30"/>
        <v>0</v>
      </c>
      <c r="E418" s="6"/>
      <c r="F418" s="6">
        <f t="shared" si="34"/>
        <v>0</v>
      </c>
      <c r="G418" s="149">
        <f>INDEX('Step 4 Stage Discharge'!E$26:F$126,MATCH(F418,'Step 4 Stage Discharge'!E$26:E$126,1),2)+(INDEX('Step 4 Stage Discharge'!E$26:F$126,MATCH(F418,'Step 4 Stage Discharge'!E$26:E$126,1)+1,2)-INDEX('Step 4 Stage Discharge'!E$26:F$126,MATCH(F418,'Step 4 Stage Discharge'!E$26:E$126,1),2))*(F418-INDEX('Step 4 Stage Discharge'!E$26:F$126,MATCH(F418,'Step 4 Stage Discharge'!E$26:E$126,1),1))/(INDEX('Step 4 Stage Discharge'!E$26:F$126,MATCH(F418,'Step 4 Stage Discharge'!E$26:E$126,1)+1,1)-INDEX('Step 4 Stage Discharge'!E$26:F$126,MATCH(F418,'Step 4 Stage Discharge'!E$26:E$126,1),1))</f>
        <v>0</v>
      </c>
      <c r="H418" s="149"/>
      <c r="I418" s="149">
        <f>INDEX('Step 4 Stage Discharge'!E$26:M$126,MATCH(F418,'Step 4 Stage Discharge'!E$26:E$126,1),9)+(INDEX('Step 4 Stage Discharge'!E$26:M$126,MATCH('Step 5 Routing'!F418,'Step 4 Stage Discharge'!E$26:E$126,1)+1,9)-INDEX('Step 4 Stage Discharge'!E$26:M$126,MATCH('Step 5 Routing'!F418,'Step 4 Stage Discharge'!E$26:E$126,1),9))*('Step 5 Routing'!F418-INDEX('Step 4 Stage Discharge'!E$26:M$126,MATCH('Step 5 Routing'!F418,'Step 4 Stage Discharge'!E$26:E$126,1),1))/(INDEX('Step 4 Stage Discharge'!E$26:M$126,MATCH('Step 5 Routing'!F418,'Step 4 Stage Discharge'!E$26:E$126,1)+1,1)-INDEX('Step 4 Stage Discharge'!E$26:M$126,MATCH('Step 5 Routing'!F418,'Step 4 Stage Discharge'!E$26:E$126,1),1))</f>
        <v>4.3639431710317386E-3</v>
      </c>
      <c r="J418" s="149"/>
      <c r="K418" s="6">
        <f t="shared" si="31"/>
        <v>0</v>
      </c>
      <c r="L418" s="6">
        <f t="shared" si="32"/>
        <v>0</v>
      </c>
    </row>
    <row r="419" spans="1:12">
      <c r="A419">
        <f t="shared" si="33"/>
        <v>406</v>
      </c>
      <c r="B419" s="136">
        <f>IF(C$5=Data!D$3,'Step 2 Inflow Hydrograph'!H463,IF(C$5=Data!D$4,'Step 2 Inflow Hydrograph'!I463,IF(C$5=Data!D$5,'Step 2 Inflow Hydrograph'!J463,'Step 2 Inflow Hydrograph'!K463)))</f>
        <v>0</v>
      </c>
      <c r="C419" s="127"/>
      <c r="D419" s="6">
        <f t="shared" si="30"/>
        <v>0</v>
      </c>
      <c r="E419" s="6"/>
      <c r="F419" s="6">
        <f t="shared" si="34"/>
        <v>0</v>
      </c>
      <c r="G419" s="149">
        <f>INDEX('Step 4 Stage Discharge'!E$26:F$126,MATCH(F419,'Step 4 Stage Discharge'!E$26:E$126,1),2)+(INDEX('Step 4 Stage Discharge'!E$26:F$126,MATCH(F419,'Step 4 Stage Discharge'!E$26:E$126,1)+1,2)-INDEX('Step 4 Stage Discharge'!E$26:F$126,MATCH(F419,'Step 4 Stage Discharge'!E$26:E$126,1),2))*(F419-INDEX('Step 4 Stage Discharge'!E$26:F$126,MATCH(F419,'Step 4 Stage Discharge'!E$26:E$126,1),1))/(INDEX('Step 4 Stage Discharge'!E$26:F$126,MATCH(F419,'Step 4 Stage Discharge'!E$26:E$126,1)+1,1)-INDEX('Step 4 Stage Discharge'!E$26:F$126,MATCH(F419,'Step 4 Stage Discharge'!E$26:E$126,1),1))</f>
        <v>0</v>
      </c>
      <c r="H419" s="149"/>
      <c r="I419" s="149">
        <f>INDEX('Step 4 Stage Discharge'!E$26:M$126,MATCH(F419,'Step 4 Stage Discharge'!E$26:E$126,1),9)+(INDEX('Step 4 Stage Discharge'!E$26:M$126,MATCH('Step 5 Routing'!F419,'Step 4 Stage Discharge'!E$26:E$126,1)+1,9)-INDEX('Step 4 Stage Discharge'!E$26:M$126,MATCH('Step 5 Routing'!F419,'Step 4 Stage Discharge'!E$26:E$126,1),9))*('Step 5 Routing'!F419-INDEX('Step 4 Stage Discharge'!E$26:M$126,MATCH('Step 5 Routing'!F419,'Step 4 Stage Discharge'!E$26:E$126,1),1))/(INDEX('Step 4 Stage Discharge'!E$26:M$126,MATCH('Step 5 Routing'!F419,'Step 4 Stage Discharge'!E$26:E$126,1)+1,1)-INDEX('Step 4 Stage Discharge'!E$26:M$126,MATCH('Step 5 Routing'!F419,'Step 4 Stage Discharge'!E$26:E$126,1),1))</f>
        <v>4.3639431710317386E-3</v>
      </c>
      <c r="J419" s="149"/>
      <c r="K419" s="6">
        <f t="shared" si="31"/>
        <v>0</v>
      </c>
      <c r="L419" s="6">
        <f t="shared" si="32"/>
        <v>0</v>
      </c>
    </row>
    <row r="420" spans="1:12">
      <c r="A420">
        <f t="shared" si="33"/>
        <v>407</v>
      </c>
      <c r="B420" s="136">
        <f>IF(C$5=Data!D$3,'Step 2 Inflow Hydrograph'!H464,IF(C$5=Data!D$4,'Step 2 Inflow Hydrograph'!I464,IF(C$5=Data!D$5,'Step 2 Inflow Hydrograph'!J464,'Step 2 Inflow Hydrograph'!K464)))</f>
        <v>0</v>
      </c>
      <c r="C420" s="127"/>
      <c r="D420" s="6">
        <f t="shared" si="30"/>
        <v>0</v>
      </c>
      <c r="E420" s="6"/>
      <c r="F420" s="6">
        <f t="shared" si="34"/>
        <v>0</v>
      </c>
      <c r="G420" s="149">
        <f>INDEX('Step 4 Stage Discharge'!E$26:F$126,MATCH(F420,'Step 4 Stage Discharge'!E$26:E$126,1),2)+(INDEX('Step 4 Stage Discharge'!E$26:F$126,MATCH(F420,'Step 4 Stage Discharge'!E$26:E$126,1)+1,2)-INDEX('Step 4 Stage Discharge'!E$26:F$126,MATCH(F420,'Step 4 Stage Discharge'!E$26:E$126,1),2))*(F420-INDEX('Step 4 Stage Discharge'!E$26:F$126,MATCH(F420,'Step 4 Stage Discharge'!E$26:E$126,1),1))/(INDEX('Step 4 Stage Discharge'!E$26:F$126,MATCH(F420,'Step 4 Stage Discharge'!E$26:E$126,1)+1,1)-INDEX('Step 4 Stage Discharge'!E$26:F$126,MATCH(F420,'Step 4 Stage Discharge'!E$26:E$126,1),1))</f>
        <v>0</v>
      </c>
      <c r="H420" s="149"/>
      <c r="I420" s="149">
        <f>INDEX('Step 4 Stage Discharge'!E$26:M$126,MATCH(F420,'Step 4 Stage Discharge'!E$26:E$126,1),9)+(INDEX('Step 4 Stage Discharge'!E$26:M$126,MATCH('Step 5 Routing'!F420,'Step 4 Stage Discharge'!E$26:E$126,1)+1,9)-INDEX('Step 4 Stage Discharge'!E$26:M$126,MATCH('Step 5 Routing'!F420,'Step 4 Stage Discharge'!E$26:E$126,1),9))*('Step 5 Routing'!F420-INDEX('Step 4 Stage Discharge'!E$26:M$126,MATCH('Step 5 Routing'!F420,'Step 4 Stage Discharge'!E$26:E$126,1),1))/(INDEX('Step 4 Stage Discharge'!E$26:M$126,MATCH('Step 5 Routing'!F420,'Step 4 Stage Discharge'!E$26:E$126,1)+1,1)-INDEX('Step 4 Stage Discharge'!E$26:M$126,MATCH('Step 5 Routing'!F420,'Step 4 Stage Discharge'!E$26:E$126,1),1))</f>
        <v>4.3639431710317386E-3</v>
      </c>
      <c r="J420" s="149"/>
      <c r="K420" s="6">
        <f t="shared" si="31"/>
        <v>0</v>
      </c>
      <c r="L420" s="6">
        <f t="shared" si="32"/>
        <v>0</v>
      </c>
    </row>
    <row r="421" spans="1:12">
      <c r="A421">
        <f t="shared" si="33"/>
        <v>408</v>
      </c>
      <c r="B421" s="136">
        <f>IF(C$5=Data!D$3,'Step 2 Inflow Hydrograph'!H465,IF(C$5=Data!D$4,'Step 2 Inflow Hydrograph'!I465,IF(C$5=Data!D$5,'Step 2 Inflow Hydrograph'!J465,'Step 2 Inflow Hydrograph'!K465)))</f>
        <v>0</v>
      </c>
      <c r="C421" s="127"/>
      <c r="D421" s="6">
        <f t="shared" si="30"/>
        <v>0</v>
      </c>
      <c r="E421" s="6"/>
      <c r="F421" s="6">
        <f t="shared" si="34"/>
        <v>0</v>
      </c>
      <c r="G421" s="149">
        <f>INDEX('Step 4 Stage Discharge'!E$26:F$126,MATCH(F421,'Step 4 Stage Discharge'!E$26:E$126,1),2)+(INDEX('Step 4 Stage Discharge'!E$26:F$126,MATCH(F421,'Step 4 Stage Discharge'!E$26:E$126,1)+1,2)-INDEX('Step 4 Stage Discharge'!E$26:F$126,MATCH(F421,'Step 4 Stage Discharge'!E$26:E$126,1),2))*(F421-INDEX('Step 4 Stage Discharge'!E$26:F$126,MATCH(F421,'Step 4 Stage Discharge'!E$26:E$126,1),1))/(INDEX('Step 4 Stage Discharge'!E$26:F$126,MATCH(F421,'Step 4 Stage Discharge'!E$26:E$126,1)+1,1)-INDEX('Step 4 Stage Discharge'!E$26:F$126,MATCH(F421,'Step 4 Stage Discharge'!E$26:E$126,1),1))</f>
        <v>0</v>
      </c>
      <c r="H421" s="149"/>
      <c r="I421" s="149">
        <f>INDEX('Step 4 Stage Discharge'!E$26:M$126,MATCH(F421,'Step 4 Stage Discharge'!E$26:E$126,1),9)+(INDEX('Step 4 Stage Discharge'!E$26:M$126,MATCH('Step 5 Routing'!F421,'Step 4 Stage Discharge'!E$26:E$126,1)+1,9)-INDEX('Step 4 Stage Discharge'!E$26:M$126,MATCH('Step 5 Routing'!F421,'Step 4 Stage Discharge'!E$26:E$126,1),9))*('Step 5 Routing'!F421-INDEX('Step 4 Stage Discharge'!E$26:M$126,MATCH('Step 5 Routing'!F421,'Step 4 Stage Discharge'!E$26:E$126,1),1))/(INDEX('Step 4 Stage Discharge'!E$26:M$126,MATCH('Step 5 Routing'!F421,'Step 4 Stage Discharge'!E$26:E$126,1)+1,1)-INDEX('Step 4 Stage Discharge'!E$26:M$126,MATCH('Step 5 Routing'!F421,'Step 4 Stage Discharge'!E$26:E$126,1),1))</f>
        <v>4.3639431710317386E-3</v>
      </c>
      <c r="J421" s="149"/>
      <c r="K421" s="6">
        <f t="shared" si="31"/>
        <v>0</v>
      </c>
      <c r="L421" s="6">
        <f t="shared" si="32"/>
        <v>0</v>
      </c>
    </row>
    <row r="422" spans="1:12">
      <c r="A422">
        <f t="shared" si="33"/>
        <v>409</v>
      </c>
      <c r="B422" s="136">
        <f>IF(C$5=Data!D$3,'Step 2 Inflow Hydrograph'!H466,IF(C$5=Data!D$4,'Step 2 Inflow Hydrograph'!I466,IF(C$5=Data!D$5,'Step 2 Inflow Hydrograph'!J466,'Step 2 Inflow Hydrograph'!K466)))</f>
        <v>0</v>
      </c>
      <c r="C422" s="127"/>
      <c r="D422" s="6">
        <f t="shared" si="30"/>
        <v>0</v>
      </c>
      <c r="E422" s="6"/>
      <c r="F422" s="6">
        <f t="shared" si="34"/>
        <v>0</v>
      </c>
      <c r="G422" s="149">
        <f>INDEX('Step 4 Stage Discharge'!E$26:F$126,MATCH(F422,'Step 4 Stage Discharge'!E$26:E$126,1),2)+(INDEX('Step 4 Stage Discharge'!E$26:F$126,MATCH(F422,'Step 4 Stage Discharge'!E$26:E$126,1)+1,2)-INDEX('Step 4 Stage Discharge'!E$26:F$126,MATCH(F422,'Step 4 Stage Discharge'!E$26:E$126,1),2))*(F422-INDEX('Step 4 Stage Discharge'!E$26:F$126,MATCH(F422,'Step 4 Stage Discharge'!E$26:E$126,1),1))/(INDEX('Step 4 Stage Discharge'!E$26:F$126,MATCH(F422,'Step 4 Stage Discharge'!E$26:E$126,1)+1,1)-INDEX('Step 4 Stage Discharge'!E$26:F$126,MATCH(F422,'Step 4 Stage Discharge'!E$26:E$126,1),1))</f>
        <v>0</v>
      </c>
      <c r="H422" s="149"/>
      <c r="I422" s="149">
        <f>INDEX('Step 4 Stage Discharge'!E$26:M$126,MATCH(F422,'Step 4 Stage Discharge'!E$26:E$126,1),9)+(INDEX('Step 4 Stage Discharge'!E$26:M$126,MATCH('Step 5 Routing'!F422,'Step 4 Stage Discharge'!E$26:E$126,1)+1,9)-INDEX('Step 4 Stage Discharge'!E$26:M$126,MATCH('Step 5 Routing'!F422,'Step 4 Stage Discharge'!E$26:E$126,1),9))*('Step 5 Routing'!F422-INDEX('Step 4 Stage Discharge'!E$26:M$126,MATCH('Step 5 Routing'!F422,'Step 4 Stage Discharge'!E$26:E$126,1),1))/(INDEX('Step 4 Stage Discharge'!E$26:M$126,MATCH('Step 5 Routing'!F422,'Step 4 Stage Discharge'!E$26:E$126,1)+1,1)-INDEX('Step 4 Stage Discharge'!E$26:M$126,MATCH('Step 5 Routing'!F422,'Step 4 Stage Discharge'!E$26:E$126,1),1))</f>
        <v>4.3639431710317386E-3</v>
      </c>
      <c r="J422" s="149"/>
      <c r="K422" s="6">
        <f t="shared" si="31"/>
        <v>0</v>
      </c>
      <c r="L422" s="6">
        <f t="shared" si="32"/>
        <v>0</v>
      </c>
    </row>
    <row r="423" spans="1:12">
      <c r="A423">
        <f t="shared" si="33"/>
        <v>410</v>
      </c>
      <c r="B423" s="136">
        <f>IF(C$5=Data!D$3,'Step 2 Inflow Hydrograph'!H467,IF(C$5=Data!D$4,'Step 2 Inflow Hydrograph'!I467,IF(C$5=Data!D$5,'Step 2 Inflow Hydrograph'!J467,'Step 2 Inflow Hydrograph'!K467)))</f>
        <v>0</v>
      </c>
      <c r="C423" s="127"/>
      <c r="D423" s="6">
        <f t="shared" si="30"/>
        <v>0</v>
      </c>
      <c r="E423" s="6"/>
      <c r="F423" s="6">
        <f t="shared" si="34"/>
        <v>0</v>
      </c>
      <c r="G423" s="149">
        <f>INDEX('Step 4 Stage Discharge'!E$26:F$126,MATCH(F423,'Step 4 Stage Discharge'!E$26:E$126,1),2)+(INDEX('Step 4 Stage Discharge'!E$26:F$126,MATCH(F423,'Step 4 Stage Discharge'!E$26:E$126,1)+1,2)-INDEX('Step 4 Stage Discharge'!E$26:F$126,MATCH(F423,'Step 4 Stage Discharge'!E$26:E$126,1),2))*(F423-INDEX('Step 4 Stage Discharge'!E$26:F$126,MATCH(F423,'Step 4 Stage Discharge'!E$26:E$126,1),1))/(INDEX('Step 4 Stage Discharge'!E$26:F$126,MATCH(F423,'Step 4 Stage Discharge'!E$26:E$126,1)+1,1)-INDEX('Step 4 Stage Discharge'!E$26:F$126,MATCH(F423,'Step 4 Stage Discharge'!E$26:E$126,1),1))</f>
        <v>0</v>
      </c>
      <c r="H423" s="149"/>
      <c r="I423" s="149">
        <f>INDEX('Step 4 Stage Discharge'!E$26:M$126,MATCH(F423,'Step 4 Stage Discharge'!E$26:E$126,1),9)+(INDEX('Step 4 Stage Discharge'!E$26:M$126,MATCH('Step 5 Routing'!F423,'Step 4 Stage Discharge'!E$26:E$126,1)+1,9)-INDEX('Step 4 Stage Discharge'!E$26:M$126,MATCH('Step 5 Routing'!F423,'Step 4 Stage Discharge'!E$26:E$126,1),9))*('Step 5 Routing'!F423-INDEX('Step 4 Stage Discharge'!E$26:M$126,MATCH('Step 5 Routing'!F423,'Step 4 Stage Discharge'!E$26:E$126,1),1))/(INDEX('Step 4 Stage Discharge'!E$26:M$126,MATCH('Step 5 Routing'!F423,'Step 4 Stage Discharge'!E$26:E$126,1)+1,1)-INDEX('Step 4 Stage Discharge'!E$26:M$126,MATCH('Step 5 Routing'!F423,'Step 4 Stage Discharge'!E$26:E$126,1),1))</f>
        <v>4.3639431710317386E-3</v>
      </c>
      <c r="J423" s="149"/>
      <c r="K423" s="6">
        <f t="shared" si="31"/>
        <v>0</v>
      </c>
      <c r="L423" s="6">
        <f t="shared" si="32"/>
        <v>0</v>
      </c>
    </row>
    <row r="424" spans="1:12">
      <c r="A424">
        <f t="shared" si="33"/>
        <v>411</v>
      </c>
      <c r="B424" s="136">
        <f>IF(C$5=Data!D$3,'Step 2 Inflow Hydrograph'!H468,IF(C$5=Data!D$4,'Step 2 Inflow Hydrograph'!I468,IF(C$5=Data!D$5,'Step 2 Inflow Hydrograph'!J468,'Step 2 Inflow Hydrograph'!K468)))</f>
        <v>0</v>
      </c>
      <c r="C424" s="127"/>
      <c r="D424" s="6">
        <f t="shared" si="30"/>
        <v>0</v>
      </c>
      <c r="E424" s="6"/>
      <c r="F424" s="6">
        <f t="shared" si="34"/>
        <v>0</v>
      </c>
      <c r="G424" s="149">
        <f>INDEX('Step 4 Stage Discharge'!E$26:F$126,MATCH(F424,'Step 4 Stage Discharge'!E$26:E$126,1),2)+(INDEX('Step 4 Stage Discharge'!E$26:F$126,MATCH(F424,'Step 4 Stage Discharge'!E$26:E$126,1)+1,2)-INDEX('Step 4 Stage Discharge'!E$26:F$126,MATCH(F424,'Step 4 Stage Discharge'!E$26:E$126,1),2))*(F424-INDEX('Step 4 Stage Discharge'!E$26:F$126,MATCH(F424,'Step 4 Stage Discharge'!E$26:E$126,1),1))/(INDEX('Step 4 Stage Discharge'!E$26:F$126,MATCH(F424,'Step 4 Stage Discharge'!E$26:E$126,1)+1,1)-INDEX('Step 4 Stage Discharge'!E$26:F$126,MATCH(F424,'Step 4 Stage Discharge'!E$26:E$126,1),1))</f>
        <v>0</v>
      </c>
      <c r="H424" s="149"/>
      <c r="I424" s="149">
        <f>INDEX('Step 4 Stage Discharge'!E$26:M$126,MATCH(F424,'Step 4 Stage Discharge'!E$26:E$126,1),9)+(INDEX('Step 4 Stage Discharge'!E$26:M$126,MATCH('Step 5 Routing'!F424,'Step 4 Stage Discharge'!E$26:E$126,1)+1,9)-INDEX('Step 4 Stage Discharge'!E$26:M$126,MATCH('Step 5 Routing'!F424,'Step 4 Stage Discharge'!E$26:E$126,1),9))*('Step 5 Routing'!F424-INDEX('Step 4 Stage Discharge'!E$26:M$126,MATCH('Step 5 Routing'!F424,'Step 4 Stage Discharge'!E$26:E$126,1),1))/(INDEX('Step 4 Stage Discharge'!E$26:M$126,MATCH('Step 5 Routing'!F424,'Step 4 Stage Discharge'!E$26:E$126,1)+1,1)-INDEX('Step 4 Stage Discharge'!E$26:M$126,MATCH('Step 5 Routing'!F424,'Step 4 Stage Discharge'!E$26:E$126,1),1))</f>
        <v>4.3639431710317386E-3</v>
      </c>
      <c r="J424" s="149"/>
      <c r="K424" s="6">
        <f t="shared" si="31"/>
        <v>0</v>
      </c>
      <c r="L424" s="6">
        <f t="shared" si="32"/>
        <v>0</v>
      </c>
    </row>
    <row r="425" spans="1:12">
      <c r="A425">
        <f t="shared" si="33"/>
        <v>412</v>
      </c>
      <c r="B425" s="136">
        <f>IF(C$5=Data!D$3,'Step 2 Inflow Hydrograph'!H469,IF(C$5=Data!D$4,'Step 2 Inflow Hydrograph'!I469,IF(C$5=Data!D$5,'Step 2 Inflow Hydrograph'!J469,'Step 2 Inflow Hydrograph'!K469)))</f>
        <v>0</v>
      </c>
      <c r="C425" s="127"/>
      <c r="D425" s="6">
        <f t="shared" si="30"/>
        <v>0</v>
      </c>
      <c r="E425" s="6"/>
      <c r="F425" s="6">
        <f t="shared" si="34"/>
        <v>0</v>
      </c>
      <c r="G425" s="149">
        <f>INDEX('Step 4 Stage Discharge'!E$26:F$126,MATCH(F425,'Step 4 Stage Discharge'!E$26:E$126,1),2)+(INDEX('Step 4 Stage Discharge'!E$26:F$126,MATCH(F425,'Step 4 Stage Discharge'!E$26:E$126,1)+1,2)-INDEX('Step 4 Stage Discharge'!E$26:F$126,MATCH(F425,'Step 4 Stage Discharge'!E$26:E$126,1),2))*(F425-INDEX('Step 4 Stage Discharge'!E$26:F$126,MATCH(F425,'Step 4 Stage Discharge'!E$26:E$126,1),1))/(INDEX('Step 4 Stage Discharge'!E$26:F$126,MATCH(F425,'Step 4 Stage Discharge'!E$26:E$126,1)+1,1)-INDEX('Step 4 Stage Discharge'!E$26:F$126,MATCH(F425,'Step 4 Stage Discharge'!E$26:E$126,1),1))</f>
        <v>0</v>
      </c>
      <c r="H425" s="149"/>
      <c r="I425" s="149">
        <f>INDEX('Step 4 Stage Discharge'!E$26:M$126,MATCH(F425,'Step 4 Stage Discharge'!E$26:E$126,1),9)+(INDEX('Step 4 Stage Discharge'!E$26:M$126,MATCH('Step 5 Routing'!F425,'Step 4 Stage Discharge'!E$26:E$126,1)+1,9)-INDEX('Step 4 Stage Discharge'!E$26:M$126,MATCH('Step 5 Routing'!F425,'Step 4 Stage Discharge'!E$26:E$126,1),9))*('Step 5 Routing'!F425-INDEX('Step 4 Stage Discharge'!E$26:M$126,MATCH('Step 5 Routing'!F425,'Step 4 Stage Discharge'!E$26:E$126,1),1))/(INDEX('Step 4 Stage Discharge'!E$26:M$126,MATCH('Step 5 Routing'!F425,'Step 4 Stage Discharge'!E$26:E$126,1)+1,1)-INDEX('Step 4 Stage Discharge'!E$26:M$126,MATCH('Step 5 Routing'!F425,'Step 4 Stage Discharge'!E$26:E$126,1),1))</f>
        <v>4.3639431710317386E-3</v>
      </c>
      <c r="J425" s="149"/>
      <c r="K425" s="6">
        <f t="shared" si="31"/>
        <v>0</v>
      </c>
      <c r="L425" s="6">
        <f t="shared" si="32"/>
        <v>0</v>
      </c>
    </row>
    <row r="426" spans="1:12">
      <c r="A426">
        <f t="shared" si="33"/>
        <v>413</v>
      </c>
      <c r="B426" s="136">
        <f>IF(C$5=Data!D$3,'Step 2 Inflow Hydrograph'!H470,IF(C$5=Data!D$4,'Step 2 Inflow Hydrograph'!I470,IF(C$5=Data!D$5,'Step 2 Inflow Hydrograph'!J470,'Step 2 Inflow Hydrograph'!K470)))</f>
        <v>0</v>
      </c>
      <c r="C426" s="127"/>
      <c r="D426" s="6">
        <f t="shared" si="30"/>
        <v>0</v>
      </c>
      <c r="E426" s="6"/>
      <c r="F426" s="6">
        <f t="shared" si="34"/>
        <v>0</v>
      </c>
      <c r="G426" s="149">
        <f>INDEX('Step 4 Stage Discharge'!E$26:F$126,MATCH(F426,'Step 4 Stage Discharge'!E$26:E$126,1),2)+(INDEX('Step 4 Stage Discharge'!E$26:F$126,MATCH(F426,'Step 4 Stage Discharge'!E$26:E$126,1)+1,2)-INDEX('Step 4 Stage Discharge'!E$26:F$126,MATCH(F426,'Step 4 Stage Discharge'!E$26:E$126,1),2))*(F426-INDEX('Step 4 Stage Discharge'!E$26:F$126,MATCH(F426,'Step 4 Stage Discharge'!E$26:E$126,1),1))/(INDEX('Step 4 Stage Discharge'!E$26:F$126,MATCH(F426,'Step 4 Stage Discharge'!E$26:E$126,1)+1,1)-INDEX('Step 4 Stage Discharge'!E$26:F$126,MATCH(F426,'Step 4 Stage Discharge'!E$26:E$126,1),1))</f>
        <v>0</v>
      </c>
      <c r="H426" s="149"/>
      <c r="I426" s="149">
        <f>INDEX('Step 4 Stage Discharge'!E$26:M$126,MATCH(F426,'Step 4 Stage Discharge'!E$26:E$126,1),9)+(INDEX('Step 4 Stage Discharge'!E$26:M$126,MATCH('Step 5 Routing'!F426,'Step 4 Stage Discharge'!E$26:E$126,1)+1,9)-INDEX('Step 4 Stage Discharge'!E$26:M$126,MATCH('Step 5 Routing'!F426,'Step 4 Stage Discharge'!E$26:E$126,1),9))*('Step 5 Routing'!F426-INDEX('Step 4 Stage Discharge'!E$26:M$126,MATCH('Step 5 Routing'!F426,'Step 4 Stage Discharge'!E$26:E$126,1),1))/(INDEX('Step 4 Stage Discharge'!E$26:M$126,MATCH('Step 5 Routing'!F426,'Step 4 Stage Discharge'!E$26:E$126,1)+1,1)-INDEX('Step 4 Stage Discharge'!E$26:M$126,MATCH('Step 5 Routing'!F426,'Step 4 Stage Discharge'!E$26:E$126,1),1))</f>
        <v>4.3639431710317386E-3</v>
      </c>
      <c r="J426" s="149"/>
      <c r="K426" s="6">
        <f t="shared" si="31"/>
        <v>0</v>
      </c>
      <c r="L426" s="6">
        <f t="shared" si="32"/>
        <v>0</v>
      </c>
    </row>
    <row r="427" spans="1:12">
      <c r="A427">
        <f t="shared" si="33"/>
        <v>414</v>
      </c>
      <c r="B427" s="136">
        <f>IF(C$5=Data!D$3,'Step 2 Inflow Hydrograph'!H471,IF(C$5=Data!D$4,'Step 2 Inflow Hydrograph'!I471,IF(C$5=Data!D$5,'Step 2 Inflow Hydrograph'!J471,'Step 2 Inflow Hydrograph'!K471)))</f>
        <v>0</v>
      </c>
      <c r="C427" s="127"/>
      <c r="D427" s="6">
        <f t="shared" si="30"/>
        <v>0</v>
      </c>
      <c r="E427" s="6"/>
      <c r="F427" s="6">
        <f t="shared" si="34"/>
        <v>0</v>
      </c>
      <c r="G427" s="149">
        <f>INDEX('Step 4 Stage Discharge'!E$26:F$126,MATCH(F427,'Step 4 Stage Discharge'!E$26:E$126,1),2)+(INDEX('Step 4 Stage Discharge'!E$26:F$126,MATCH(F427,'Step 4 Stage Discharge'!E$26:E$126,1)+1,2)-INDEX('Step 4 Stage Discharge'!E$26:F$126,MATCH(F427,'Step 4 Stage Discharge'!E$26:E$126,1),2))*(F427-INDEX('Step 4 Stage Discharge'!E$26:F$126,MATCH(F427,'Step 4 Stage Discharge'!E$26:E$126,1),1))/(INDEX('Step 4 Stage Discharge'!E$26:F$126,MATCH(F427,'Step 4 Stage Discharge'!E$26:E$126,1)+1,1)-INDEX('Step 4 Stage Discharge'!E$26:F$126,MATCH(F427,'Step 4 Stage Discharge'!E$26:E$126,1),1))</f>
        <v>0</v>
      </c>
      <c r="H427" s="149"/>
      <c r="I427" s="149">
        <f>INDEX('Step 4 Stage Discharge'!E$26:M$126,MATCH(F427,'Step 4 Stage Discharge'!E$26:E$126,1),9)+(INDEX('Step 4 Stage Discharge'!E$26:M$126,MATCH('Step 5 Routing'!F427,'Step 4 Stage Discharge'!E$26:E$126,1)+1,9)-INDEX('Step 4 Stage Discharge'!E$26:M$126,MATCH('Step 5 Routing'!F427,'Step 4 Stage Discharge'!E$26:E$126,1),9))*('Step 5 Routing'!F427-INDEX('Step 4 Stage Discharge'!E$26:M$126,MATCH('Step 5 Routing'!F427,'Step 4 Stage Discharge'!E$26:E$126,1),1))/(INDEX('Step 4 Stage Discharge'!E$26:M$126,MATCH('Step 5 Routing'!F427,'Step 4 Stage Discharge'!E$26:E$126,1)+1,1)-INDEX('Step 4 Stage Discharge'!E$26:M$126,MATCH('Step 5 Routing'!F427,'Step 4 Stage Discharge'!E$26:E$126,1),1))</f>
        <v>4.3639431710317386E-3</v>
      </c>
      <c r="J427" s="149"/>
      <c r="K427" s="6">
        <f t="shared" si="31"/>
        <v>0</v>
      </c>
      <c r="L427" s="6">
        <f t="shared" si="32"/>
        <v>0</v>
      </c>
    </row>
    <row r="428" spans="1:12">
      <c r="A428">
        <f t="shared" si="33"/>
        <v>415</v>
      </c>
      <c r="B428" s="136">
        <f>IF(C$5=Data!D$3,'Step 2 Inflow Hydrograph'!H472,IF(C$5=Data!D$4,'Step 2 Inflow Hydrograph'!I472,IF(C$5=Data!D$5,'Step 2 Inflow Hydrograph'!J472,'Step 2 Inflow Hydrograph'!K472)))</f>
        <v>0</v>
      </c>
      <c r="C428" s="127"/>
      <c r="D428" s="6">
        <f t="shared" si="30"/>
        <v>0</v>
      </c>
      <c r="E428" s="6"/>
      <c r="F428" s="6">
        <f t="shared" si="34"/>
        <v>0</v>
      </c>
      <c r="G428" s="149">
        <f>INDEX('Step 4 Stage Discharge'!E$26:F$126,MATCH(F428,'Step 4 Stage Discharge'!E$26:E$126,1),2)+(INDEX('Step 4 Stage Discharge'!E$26:F$126,MATCH(F428,'Step 4 Stage Discharge'!E$26:E$126,1)+1,2)-INDEX('Step 4 Stage Discharge'!E$26:F$126,MATCH(F428,'Step 4 Stage Discharge'!E$26:E$126,1),2))*(F428-INDEX('Step 4 Stage Discharge'!E$26:F$126,MATCH(F428,'Step 4 Stage Discharge'!E$26:E$126,1),1))/(INDEX('Step 4 Stage Discharge'!E$26:F$126,MATCH(F428,'Step 4 Stage Discharge'!E$26:E$126,1)+1,1)-INDEX('Step 4 Stage Discharge'!E$26:F$126,MATCH(F428,'Step 4 Stage Discharge'!E$26:E$126,1),1))</f>
        <v>0</v>
      </c>
      <c r="H428" s="149"/>
      <c r="I428" s="149">
        <f>INDEX('Step 4 Stage Discharge'!E$26:M$126,MATCH(F428,'Step 4 Stage Discharge'!E$26:E$126,1),9)+(INDEX('Step 4 Stage Discharge'!E$26:M$126,MATCH('Step 5 Routing'!F428,'Step 4 Stage Discharge'!E$26:E$126,1)+1,9)-INDEX('Step 4 Stage Discharge'!E$26:M$126,MATCH('Step 5 Routing'!F428,'Step 4 Stage Discharge'!E$26:E$126,1),9))*('Step 5 Routing'!F428-INDEX('Step 4 Stage Discharge'!E$26:M$126,MATCH('Step 5 Routing'!F428,'Step 4 Stage Discharge'!E$26:E$126,1),1))/(INDEX('Step 4 Stage Discharge'!E$26:M$126,MATCH('Step 5 Routing'!F428,'Step 4 Stage Discharge'!E$26:E$126,1)+1,1)-INDEX('Step 4 Stage Discharge'!E$26:M$126,MATCH('Step 5 Routing'!F428,'Step 4 Stage Discharge'!E$26:E$126,1),1))</f>
        <v>4.3639431710317386E-3</v>
      </c>
      <c r="J428" s="149"/>
      <c r="K428" s="6">
        <f t="shared" si="31"/>
        <v>0</v>
      </c>
      <c r="L428" s="6">
        <f t="shared" si="32"/>
        <v>0</v>
      </c>
    </row>
    <row r="429" spans="1:12">
      <c r="A429">
        <f t="shared" si="33"/>
        <v>416</v>
      </c>
      <c r="B429" s="136">
        <f>IF(C$5=Data!D$3,'Step 2 Inflow Hydrograph'!H473,IF(C$5=Data!D$4,'Step 2 Inflow Hydrograph'!I473,IF(C$5=Data!D$5,'Step 2 Inflow Hydrograph'!J473,'Step 2 Inflow Hydrograph'!K473)))</f>
        <v>0</v>
      </c>
      <c r="C429" s="127"/>
      <c r="D429" s="6">
        <f t="shared" si="30"/>
        <v>0</v>
      </c>
      <c r="E429" s="6"/>
      <c r="F429" s="6">
        <f t="shared" si="34"/>
        <v>0</v>
      </c>
      <c r="G429" s="149">
        <f>INDEX('Step 4 Stage Discharge'!E$26:F$126,MATCH(F429,'Step 4 Stage Discharge'!E$26:E$126,1),2)+(INDEX('Step 4 Stage Discharge'!E$26:F$126,MATCH(F429,'Step 4 Stage Discharge'!E$26:E$126,1)+1,2)-INDEX('Step 4 Stage Discharge'!E$26:F$126,MATCH(F429,'Step 4 Stage Discharge'!E$26:E$126,1),2))*(F429-INDEX('Step 4 Stage Discharge'!E$26:F$126,MATCH(F429,'Step 4 Stage Discharge'!E$26:E$126,1),1))/(INDEX('Step 4 Stage Discharge'!E$26:F$126,MATCH(F429,'Step 4 Stage Discharge'!E$26:E$126,1)+1,1)-INDEX('Step 4 Stage Discharge'!E$26:F$126,MATCH(F429,'Step 4 Stage Discharge'!E$26:E$126,1),1))</f>
        <v>0</v>
      </c>
      <c r="H429" s="149"/>
      <c r="I429" s="149">
        <f>INDEX('Step 4 Stage Discharge'!E$26:M$126,MATCH(F429,'Step 4 Stage Discharge'!E$26:E$126,1),9)+(INDEX('Step 4 Stage Discharge'!E$26:M$126,MATCH('Step 5 Routing'!F429,'Step 4 Stage Discharge'!E$26:E$126,1)+1,9)-INDEX('Step 4 Stage Discharge'!E$26:M$126,MATCH('Step 5 Routing'!F429,'Step 4 Stage Discharge'!E$26:E$126,1),9))*('Step 5 Routing'!F429-INDEX('Step 4 Stage Discharge'!E$26:M$126,MATCH('Step 5 Routing'!F429,'Step 4 Stage Discharge'!E$26:E$126,1),1))/(INDEX('Step 4 Stage Discharge'!E$26:M$126,MATCH('Step 5 Routing'!F429,'Step 4 Stage Discharge'!E$26:E$126,1)+1,1)-INDEX('Step 4 Stage Discharge'!E$26:M$126,MATCH('Step 5 Routing'!F429,'Step 4 Stage Discharge'!E$26:E$126,1),1))</f>
        <v>4.3639431710317386E-3</v>
      </c>
      <c r="J429" s="149"/>
      <c r="K429" s="6">
        <f t="shared" si="31"/>
        <v>0</v>
      </c>
      <c r="L429" s="6">
        <f t="shared" si="32"/>
        <v>0</v>
      </c>
    </row>
    <row r="430" spans="1:12">
      <c r="A430">
        <f t="shared" si="33"/>
        <v>417</v>
      </c>
      <c r="B430" s="136">
        <f>IF(C$5=Data!D$3,'Step 2 Inflow Hydrograph'!H474,IF(C$5=Data!D$4,'Step 2 Inflow Hydrograph'!I474,IF(C$5=Data!D$5,'Step 2 Inflow Hydrograph'!J474,'Step 2 Inflow Hydrograph'!K474)))</f>
        <v>0</v>
      </c>
      <c r="C430" s="127"/>
      <c r="D430" s="6">
        <f t="shared" si="30"/>
        <v>0</v>
      </c>
      <c r="E430" s="6"/>
      <c r="F430" s="6">
        <f t="shared" si="34"/>
        <v>0</v>
      </c>
      <c r="G430" s="149">
        <f>INDEX('Step 4 Stage Discharge'!E$26:F$126,MATCH(F430,'Step 4 Stage Discharge'!E$26:E$126,1),2)+(INDEX('Step 4 Stage Discharge'!E$26:F$126,MATCH(F430,'Step 4 Stage Discharge'!E$26:E$126,1)+1,2)-INDEX('Step 4 Stage Discharge'!E$26:F$126,MATCH(F430,'Step 4 Stage Discharge'!E$26:E$126,1),2))*(F430-INDEX('Step 4 Stage Discharge'!E$26:F$126,MATCH(F430,'Step 4 Stage Discharge'!E$26:E$126,1),1))/(INDEX('Step 4 Stage Discharge'!E$26:F$126,MATCH(F430,'Step 4 Stage Discharge'!E$26:E$126,1)+1,1)-INDEX('Step 4 Stage Discharge'!E$26:F$126,MATCH(F430,'Step 4 Stage Discharge'!E$26:E$126,1),1))</f>
        <v>0</v>
      </c>
      <c r="H430" s="149"/>
      <c r="I430" s="149">
        <f>INDEX('Step 4 Stage Discharge'!E$26:M$126,MATCH(F430,'Step 4 Stage Discharge'!E$26:E$126,1),9)+(INDEX('Step 4 Stage Discharge'!E$26:M$126,MATCH('Step 5 Routing'!F430,'Step 4 Stage Discharge'!E$26:E$126,1)+1,9)-INDEX('Step 4 Stage Discharge'!E$26:M$126,MATCH('Step 5 Routing'!F430,'Step 4 Stage Discharge'!E$26:E$126,1),9))*('Step 5 Routing'!F430-INDEX('Step 4 Stage Discharge'!E$26:M$126,MATCH('Step 5 Routing'!F430,'Step 4 Stage Discharge'!E$26:E$126,1),1))/(INDEX('Step 4 Stage Discharge'!E$26:M$126,MATCH('Step 5 Routing'!F430,'Step 4 Stage Discharge'!E$26:E$126,1)+1,1)-INDEX('Step 4 Stage Discharge'!E$26:M$126,MATCH('Step 5 Routing'!F430,'Step 4 Stage Discharge'!E$26:E$126,1),1))</f>
        <v>4.3639431710317386E-3</v>
      </c>
      <c r="J430" s="149"/>
      <c r="K430" s="6">
        <f t="shared" si="31"/>
        <v>0</v>
      </c>
      <c r="L430" s="6">
        <f t="shared" si="32"/>
        <v>0</v>
      </c>
    </row>
    <row r="431" spans="1:12">
      <c r="A431">
        <f t="shared" si="33"/>
        <v>418</v>
      </c>
      <c r="B431" s="136">
        <f>IF(C$5=Data!D$3,'Step 2 Inflow Hydrograph'!H475,IF(C$5=Data!D$4,'Step 2 Inflow Hydrograph'!I475,IF(C$5=Data!D$5,'Step 2 Inflow Hydrograph'!J475,'Step 2 Inflow Hydrograph'!K475)))</f>
        <v>0</v>
      </c>
      <c r="C431" s="127"/>
      <c r="D431" s="6">
        <f t="shared" si="30"/>
        <v>0</v>
      </c>
      <c r="E431" s="6"/>
      <c r="F431" s="6">
        <f t="shared" si="34"/>
        <v>0</v>
      </c>
      <c r="G431" s="149">
        <f>INDEX('Step 4 Stage Discharge'!E$26:F$126,MATCH(F431,'Step 4 Stage Discharge'!E$26:E$126,1),2)+(INDEX('Step 4 Stage Discharge'!E$26:F$126,MATCH(F431,'Step 4 Stage Discharge'!E$26:E$126,1)+1,2)-INDEX('Step 4 Stage Discharge'!E$26:F$126,MATCH(F431,'Step 4 Stage Discharge'!E$26:E$126,1),2))*(F431-INDEX('Step 4 Stage Discharge'!E$26:F$126,MATCH(F431,'Step 4 Stage Discharge'!E$26:E$126,1),1))/(INDEX('Step 4 Stage Discharge'!E$26:F$126,MATCH(F431,'Step 4 Stage Discharge'!E$26:E$126,1)+1,1)-INDEX('Step 4 Stage Discharge'!E$26:F$126,MATCH(F431,'Step 4 Stage Discharge'!E$26:E$126,1),1))</f>
        <v>0</v>
      </c>
      <c r="H431" s="149"/>
      <c r="I431" s="149">
        <f>INDEX('Step 4 Stage Discharge'!E$26:M$126,MATCH(F431,'Step 4 Stage Discharge'!E$26:E$126,1),9)+(INDEX('Step 4 Stage Discharge'!E$26:M$126,MATCH('Step 5 Routing'!F431,'Step 4 Stage Discharge'!E$26:E$126,1)+1,9)-INDEX('Step 4 Stage Discharge'!E$26:M$126,MATCH('Step 5 Routing'!F431,'Step 4 Stage Discharge'!E$26:E$126,1),9))*('Step 5 Routing'!F431-INDEX('Step 4 Stage Discharge'!E$26:M$126,MATCH('Step 5 Routing'!F431,'Step 4 Stage Discharge'!E$26:E$126,1),1))/(INDEX('Step 4 Stage Discharge'!E$26:M$126,MATCH('Step 5 Routing'!F431,'Step 4 Stage Discharge'!E$26:E$126,1)+1,1)-INDEX('Step 4 Stage Discharge'!E$26:M$126,MATCH('Step 5 Routing'!F431,'Step 4 Stage Discharge'!E$26:E$126,1),1))</f>
        <v>4.3639431710317386E-3</v>
      </c>
      <c r="J431" s="149"/>
      <c r="K431" s="6">
        <f t="shared" si="31"/>
        <v>0</v>
      </c>
      <c r="L431" s="6">
        <f t="shared" si="32"/>
        <v>0</v>
      </c>
    </row>
    <row r="432" spans="1:12">
      <c r="A432">
        <f t="shared" si="33"/>
        <v>419</v>
      </c>
      <c r="B432" s="136">
        <f>IF(C$5=Data!D$3,'Step 2 Inflow Hydrograph'!H476,IF(C$5=Data!D$4,'Step 2 Inflow Hydrograph'!I476,IF(C$5=Data!D$5,'Step 2 Inflow Hydrograph'!J476,'Step 2 Inflow Hydrograph'!K476)))</f>
        <v>0</v>
      </c>
      <c r="C432" s="127"/>
      <c r="D432" s="6">
        <f t="shared" si="30"/>
        <v>0</v>
      </c>
      <c r="E432" s="6"/>
      <c r="F432" s="6">
        <f t="shared" si="34"/>
        <v>0</v>
      </c>
      <c r="G432" s="149">
        <f>INDEX('Step 4 Stage Discharge'!E$26:F$126,MATCH(F432,'Step 4 Stage Discharge'!E$26:E$126,1),2)+(INDEX('Step 4 Stage Discharge'!E$26:F$126,MATCH(F432,'Step 4 Stage Discharge'!E$26:E$126,1)+1,2)-INDEX('Step 4 Stage Discharge'!E$26:F$126,MATCH(F432,'Step 4 Stage Discharge'!E$26:E$126,1),2))*(F432-INDEX('Step 4 Stage Discharge'!E$26:F$126,MATCH(F432,'Step 4 Stage Discharge'!E$26:E$126,1),1))/(INDEX('Step 4 Stage Discharge'!E$26:F$126,MATCH(F432,'Step 4 Stage Discharge'!E$26:E$126,1)+1,1)-INDEX('Step 4 Stage Discharge'!E$26:F$126,MATCH(F432,'Step 4 Stage Discharge'!E$26:E$126,1),1))</f>
        <v>0</v>
      </c>
      <c r="H432" s="149"/>
      <c r="I432" s="149">
        <f>INDEX('Step 4 Stage Discharge'!E$26:M$126,MATCH(F432,'Step 4 Stage Discharge'!E$26:E$126,1),9)+(INDEX('Step 4 Stage Discharge'!E$26:M$126,MATCH('Step 5 Routing'!F432,'Step 4 Stage Discharge'!E$26:E$126,1)+1,9)-INDEX('Step 4 Stage Discharge'!E$26:M$126,MATCH('Step 5 Routing'!F432,'Step 4 Stage Discharge'!E$26:E$126,1),9))*('Step 5 Routing'!F432-INDEX('Step 4 Stage Discharge'!E$26:M$126,MATCH('Step 5 Routing'!F432,'Step 4 Stage Discharge'!E$26:E$126,1),1))/(INDEX('Step 4 Stage Discharge'!E$26:M$126,MATCH('Step 5 Routing'!F432,'Step 4 Stage Discharge'!E$26:E$126,1)+1,1)-INDEX('Step 4 Stage Discharge'!E$26:M$126,MATCH('Step 5 Routing'!F432,'Step 4 Stage Discharge'!E$26:E$126,1),1))</f>
        <v>4.3639431710317386E-3</v>
      </c>
      <c r="J432" s="149"/>
      <c r="K432" s="6">
        <f t="shared" si="31"/>
        <v>0</v>
      </c>
      <c r="L432" s="6">
        <f t="shared" si="32"/>
        <v>0</v>
      </c>
    </row>
    <row r="433" spans="1:12">
      <c r="A433">
        <f t="shared" si="33"/>
        <v>420</v>
      </c>
      <c r="B433" s="136">
        <f>IF(C$5=Data!D$3,'Step 2 Inflow Hydrograph'!H477,IF(C$5=Data!D$4,'Step 2 Inflow Hydrograph'!I477,IF(C$5=Data!D$5,'Step 2 Inflow Hydrograph'!J477,'Step 2 Inflow Hydrograph'!K477)))</f>
        <v>0</v>
      </c>
      <c r="C433" s="127"/>
      <c r="D433" s="6">
        <f t="shared" si="30"/>
        <v>0</v>
      </c>
      <c r="E433" s="6"/>
      <c r="F433" s="6">
        <f t="shared" si="34"/>
        <v>0</v>
      </c>
      <c r="G433" s="149">
        <f>INDEX('Step 4 Stage Discharge'!E$26:F$126,MATCH(F433,'Step 4 Stage Discharge'!E$26:E$126,1),2)+(INDEX('Step 4 Stage Discharge'!E$26:F$126,MATCH(F433,'Step 4 Stage Discharge'!E$26:E$126,1)+1,2)-INDEX('Step 4 Stage Discharge'!E$26:F$126,MATCH(F433,'Step 4 Stage Discharge'!E$26:E$126,1),2))*(F433-INDEX('Step 4 Stage Discharge'!E$26:F$126,MATCH(F433,'Step 4 Stage Discharge'!E$26:E$126,1),1))/(INDEX('Step 4 Stage Discharge'!E$26:F$126,MATCH(F433,'Step 4 Stage Discharge'!E$26:E$126,1)+1,1)-INDEX('Step 4 Stage Discharge'!E$26:F$126,MATCH(F433,'Step 4 Stage Discharge'!E$26:E$126,1),1))</f>
        <v>0</v>
      </c>
      <c r="H433" s="149"/>
      <c r="I433" s="149">
        <f>INDEX('Step 4 Stage Discharge'!E$26:M$126,MATCH(F433,'Step 4 Stage Discharge'!E$26:E$126,1),9)+(INDEX('Step 4 Stage Discharge'!E$26:M$126,MATCH('Step 5 Routing'!F433,'Step 4 Stage Discharge'!E$26:E$126,1)+1,9)-INDEX('Step 4 Stage Discharge'!E$26:M$126,MATCH('Step 5 Routing'!F433,'Step 4 Stage Discharge'!E$26:E$126,1),9))*('Step 5 Routing'!F433-INDEX('Step 4 Stage Discharge'!E$26:M$126,MATCH('Step 5 Routing'!F433,'Step 4 Stage Discharge'!E$26:E$126,1),1))/(INDEX('Step 4 Stage Discharge'!E$26:M$126,MATCH('Step 5 Routing'!F433,'Step 4 Stage Discharge'!E$26:E$126,1)+1,1)-INDEX('Step 4 Stage Discharge'!E$26:M$126,MATCH('Step 5 Routing'!F433,'Step 4 Stage Discharge'!E$26:E$126,1),1))</f>
        <v>4.3639431710317386E-3</v>
      </c>
      <c r="J433" s="149"/>
      <c r="K433" s="6">
        <f t="shared" si="31"/>
        <v>0</v>
      </c>
      <c r="L433" s="6">
        <f t="shared" si="32"/>
        <v>0</v>
      </c>
    </row>
    <row r="434" spans="1:12">
      <c r="A434">
        <f t="shared" si="33"/>
        <v>421</v>
      </c>
      <c r="B434" s="136">
        <f>IF(C$5=Data!D$3,'Step 2 Inflow Hydrograph'!H478,IF(C$5=Data!D$4,'Step 2 Inflow Hydrograph'!I478,IF(C$5=Data!D$5,'Step 2 Inflow Hydrograph'!J478,'Step 2 Inflow Hydrograph'!K478)))</f>
        <v>0</v>
      </c>
      <c r="C434" s="127"/>
      <c r="D434" s="6">
        <f t="shared" si="30"/>
        <v>0</v>
      </c>
      <c r="E434" s="6"/>
      <c r="F434" s="6">
        <f t="shared" si="34"/>
        <v>0</v>
      </c>
      <c r="G434" s="149">
        <f>INDEX('Step 4 Stage Discharge'!E$26:F$126,MATCH(F434,'Step 4 Stage Discharge'!E$26:E$126,1),2)+(INDEX('Step 4 Stage Discharge'!E$26:F$126,MATCH(F434,'Step 4 Stage Discharge'!E$26:E$126,1)+1,2)-INDEX('Step 4 Stage Discharge'!E$26:F$126,MATCH(F434,'Step 4 Stage Discharge'!E$26:E$126,1),2))*(F434-INDEX('Step 4 Stage Discharge'!E$26:F$126,MATCH(F434,'Step 4 Stage Discharge'!E$26:E$126,1),1))/(INDEX('Step 4 Stage Discharge'!E$26:F$126,MATCH(F434,'Step 4 Stage Discharge'!E$26:E$126,1)+1,1)-INDEX('Step 4 Stage Discharge'!E$26:F$126,MATCH(F434,'Step 4 Stage Discharge'!E$26:E$126,1),1))</f>
        <v>0</v>
      </c>
      <c r="H434" s="149"/>
      <c r="I434" s="149">
        <f>INDEX('Step 4 Stage Discharge'!E$26:M$126,MATCH(F434,'Step 4 Stage Discharge'!E$26:E$126,1),9)+(INDEX('Step 4 Stage Discharge'!E$26:M$126,MATCH('Step 5 Routing'!F434,'Step 4 Stage Discharge'!E$26:E$126,1)+1,9)-INDEX('Step 4 Stage Discharge'!E$26:M$126,MATCH('Step 5 Routing'!F434,'Step 4 Stage Discharge'!E$26:E$126,1),9))*('Step 5 Routing'!F434-INDEX('Step 4 Stage Discharge'!E$26:M$126,MATCH('Step 5 Routing'!F434,'Step 4 Stage Discharge'!E$26:E$126,1),1))/(INDEX('Step 4 Stage Discharge'!E$26:M$126,MATCH('Step 5 Routing'!F434,'Step 4 Stage Discharge'!E$26:E$126,1)+1,1)-INDEX('Step 4 Stage Discharge'!E$26:M$126,MATCH('Step 5 Routing'!F434,'Step 4 Stage Discharge'!E$26:E$126,1),1))</f>
        <v>4.3639431710317386E-3</v>
      </c>
      <c r="J434" s="149"/>
      <c r="K434" s="6">
        <f t="shared" si="31"/>
        <v>0</v>
      </c>
      <c r="L434" s="6">
        <f t="shared" si="32"/>
        <v>0</v>
      </c>
    </row>
    <row r="435" spans="1:12">
      <c r="A435">
        <f t="shared" si="33"/>
        <v>422</v>
      </c>
      <c r="B435" s="136">
        <f>IF(C$5=Data!D$3,'Step 2 Inflow Hydrograph'!H479,IF(C$5=Data!D$4,'Step 2 Inflow Hydrograph'!I479,IF(C$5=Data!D$5,'Step 2 Inflow Hydrograph'!J479,'Step 2 Inflow Hydrograph'!K479)))</f>
        <v>0</v>
      </c>
      <c r="C435" s="127"/>
      <c r="D435" s="6">
        <f t="shared" si="30"/>
        <v>0</v>
      </c>
      <c r="E435" s="6"/>
      <c r="F435" s="6">
        <f t="shared" si="34"/>
        <v>0</v>
      </c>
      <c r="G435" s="149">
        <f>INDEX('Step 4 Stage Discharge'!E$26:F$126,MATCH(F435,'Step 4 Stage Discharge'!E$26:E$126,1),2)+(INDEX('Step 4 Stage Discharge'!E$26:F$126,MATCH(F435,'Step 4 Stage Discharge'!E$26:E$126,1)+1,2)-INDEX('Step 4 Stage Discharge'!E$26:F$126,MATCH(F435,'Step 4 Stage Discharge'!E$26:E$126,1),2))*(F435-INDEX('Step 4 Stage Discharge'!E$26:F$126,MATCH(F435,'Step 4 Stage Discharge'!E$26:E$126,1),1))/(INDEX('Step 4 Stage Discharge'!E$26:F$126,MATCH(F435,'Step 4 Stage Discharge'!E$26:E$126,1)+1,1)-INDEX('Step 4 Stage Discharge'!E$26:F$126,MATCH(F435,'Step 4 Stage Discharge'!E$26:E$126,1),1))</f>
        <v>0</v>
      </c>
      <c r="H435" s="149"/>
      <c r="I435" s="149">
        <f>INDEX('Step 4 Stage Discharge'!E$26:M$126,MATCH(F435,'Step 4 Stage Discharge'!E$26:E$126,1),9)+(INDEX('Step 4 Stage Discharge'!E$26:M$126,MATCH('Step 5 Routing'!F435,'Step 4 Stage Discharge'!E$26:E$126,1)+1,9)-INDEX('Step 4 Stage Discharge'!E$26:M$126,MATCH('Step 5 Routing'!F435,'Step 4 Stage Discharge'!E$26:E$126,1),9))*('Step 5 Routing'!F435-INDEX('Step 4 Stage Discharge'!E$26:M$126,MATCH('Step 5 Routing'!F435,'Step 4 Stage Discharge'!E$26:E$126,1),1))/(INDEX('Step 4 Stage Discharge'!E$26:M$126,MATCH('Step 5 Routing'!F435,'Step 4 Stage Discharge'!E$26:E$126,1)+1,1)-INDEX('Step 4 Stage Discharge'!E$26:M$126,MATCH('Step 5 Routing'!F435,'Step 4 Stage Discharge'!E$26:E$126,1),1))</f>
        <v>4.3639431710317386E-3</v>
      </c>
      <c r="J435" s="149"/>
      <c r="K435" s="6">
        <f t="shared" si="31"/>
        <v>0</v>
      </c>
      <c r="L435" s="6">
        <f t="shared" si="32"/>
        <v>0</v>
      </c>
    </row>
    <row r="436" spans="1:12">
      <c r="A436">
        <f t="shared" si="33"/>
        <v>423</v>
      </c>
      <c r="B436" s="136">
        <f>IF(C$5=Data!D$3,'Step 2 Inflow Hydrograph'!H480,IF(C$5=Data!D$4,'Step 2 Inflow Hydrograph'!I480,IF(C$5=Data!D$5,'Step 2 Inflow Hydrograph'!J480,'Step 2 Inflow Hydrograph'!K480)))</f>
        <v>0</v>
      </c>
      <c r="C436" s="127"/>
      <c r="D436" s="6">
        <f t="shared" si="30"/>
        <v>0</v>
      </c>
      <c r="E436" s="6"/>
      <c r="F436" s="6">
        <f t="shared" si="34"/>
        <v>0</v>
      </c>
      <c r="G436" s="149">
        <f>INDEX('Step 4 Stage Discharge'!E$26:F$126,MATCH(F436,'Step 4 Stage Discharge'!E$26:E$126,1),2)+(INDEX('Step 4 Stage Discharge'!E$26:F$126,MATCH(F436,'Step 4 Stage Discharge'!E$26:E$126,1)+1,2)-INDEX('Step 4 Stage Discharge'!E$26:F$126,MATCH(F436,'Step 4 Stage Discharge'!E$26:E$126,1),2))*(F436-INDEX('Step 4 Stage Discharge'!E$26:F$126,MATCH(F436,'Step 4 Stage Discharge'!E$26:E$126,1),1))/(INDEX('Step 4 Stage Discharge'!E$26:F$126,MATCH(F436,'Step 4 Stage Discharge'!E$26:E$126,1)+1,1)-INDEX('Step 4 Stage Discharge'!E$26:F$126,MATCH(F436,'Step 4 Stage Discharge'!E$26:E$126,1),1))</f>
        <v>0</v>
      </c>
      <c r="H436" s="149"/>
      <c r="I436" s="149">
        <f>INDEX('Step 4 Stage Discharge'!E$26:M$126,MATCH(F436,'Step 4 Stage Discharge'!E$26:E$126,1),9)+(INDEX('Step 4 Stage Discharge'!E$26:M$126,MATCH('Step 5 Routing'!F436,'Step 4 Stage Discharge'!E$26:E$126,1)+1,9)-INDEX('Step 4 Stage Discharge'!E$26:M$126,MATCH('Step 5 Routing'!F436,'Step 4 Stage Discharge'!E$26:E$126,1),9))*('Step 5 Routing'!F436-INDEX('Step 4 Stage Discharge'!E$26:M$126,MATCH('Step 5 Routing'!F436,'Step 4 Stage Discharge'!E$26:E$126,1),1))/(INDEX('Step 4 Stage Discharge'!E$26:M$126,MATCH('Step 5 Routing'!F436,'Step 4 Stage Discharge'!E$26:E$126,1)+1,1)-INDEX('Step 4 Stage Discharge'!E$26:M$126,MATCH('Step 5 Routing'!F436,'Step 4 Stage Discharge'!E$26:E$126,1),1))</f>
        <v>4.3639431710317386E-3</v>
      </c>
      <c r="J436" s="149"/>
      <c r="K436" s="6">
        <f t="shared" si="31"/>
        <v>0</v>
      </c>
      <c r="L436" s="6">
        <f t="shared" si="32"/>
        <v>0</v>
      </c>
    </row>
    <row r="437" spans="1:12">
      <c r="A437">
        <f t="shared" si="33"/>
        <v>424</v>
      </c>
      <c r="B437" s="136">
        <f>IF(C$5=Data!D$3,'Step 2 Inflow Hydrograph'!H481,IF(C$5=Data!D$4,'Step 2 Inflow Hydrograph'!I481,IF(C$5=Data!D$5,'Step 2 Inflow Hydrograph'!J481,'Step 2 Inflow Hydrograph'!K481)))</f>
        <v>0</v>
      </c>
      <c r="C437" s="127"/>
      <c r="D437" s="6">
        <f t="shared" si="30"/>
        <v>0</v>
      </c>
      <c r="E437" s="6"/>
      <c r="F437" s="6">
        <f t="shared" si="34"/>
        <v>0</v>
      </c>
      <c r="G437" s="149">
        <f>INDEX('Step 4 Stage Discharge'!E$26:F$126,MATCH(F437,'Step 4 Stage Discharge'!E$26:E$126,1),2)+(INDEX('Step 4 Stage Discharge'!E$26:F$126,MATCH(F437,'Step 4 Stage Discharge'!E$26:E$126,1)+1,2)-INDEX('Step 4 Stage Discharge'!E$26:F$126,MATCH(F437,'Step 4 Stage Discharge'!E$26:E$126,1),2))*(F437-INDEX('Step 4 Stage Discharge'!E$26:F$126,MATCH(F437,'Step 4 Stage Discharge'!E$26:E$126,1),1))/(INDEX('Step 4 Stage Discharge'!E$26:F$126,MATCH(F437,'Step 4 Stage Discharge'!E$26:E$126,1)+1,1)-INDEX('Step 4 Stage Discharge'!E$26:F$126,MATCH(F437,'Step 4 Stage Discharge'!E$26:E$126,1),1))</f>
        <v>0</v>
      </c>
      <c r="H437" s="149"/>
      <c r="I437" s="149">
        <f>INDEX('Step 4 Stage Discharge'!E$26:M$126,MATCH(F437,'Step 4 Stage Discharge'!E$26:E$126,1),9)+(INDEX('Step 4 Stage Discharge'!E$26:M$126,MATCH('Step 5 Routing'!F437,'Step 4 Stage Discharge'!E$26:E$126,1)+1,9)-INDEX('Step 4 Stage Discharge'!E$26:M$126,MATCH('Step 5 Routing'!F437,'Step 4 Stage Discharge'!E$26:E$126,1),9))*('Step 5 Routing'!F437-INDEX('Step 4 Stage Discharge'!E$26:M$126,MATCH('Step 5 Routing'!F437,'Step 4 Stage Discharge'!E$26:E$126,1),1))/(INDEX('Step 4 Stage Discharge'!E$26:M$126,MATCH('Step 5 Routing'!F437,'Step 4 Stage Discharge'!E$26:E$126,1)+1,1)-INDEX('Step 4 Stage Discharge'!E$26:M$126,MATCH('Step 5 Routing'!F437,'Step 4 Stage Discharge'!E$26:E$126,1),1))</f>
        <v>4.3639431710317386E-3</v>
      </c>
      <c r="J437" s="149"/>
      <c r="K437" s="6">
        <f t="shared" si="31"/>
        <v>0</v>
      </c>
      <c r="L437" s="6">
        <f t="shared" si="32"/>
        <v>0</v>
      </c>
    </row>
    <row r="438" spans="1:12">
      <c r="A438">
        <f t="shared" si="33"/>
        <v>425</v>
      </c>
      <c r="B438" s="136">
        <f>IF(C$5=Data!D$3,'Step 2 Inflow Hydrograph'!H482,IF(C$5=Data!D$4,'Step 2 Inflow Hydrograph'!I482,IF(C$5=Data!D$5,'Step 2 Inflow Hydrograph'!J482,'Step 2 Inflow Hydrograph'!K482)))</f>
        <v>0</v>
      </c>
      <c r="C438" s="127"/>
      <c r="D438" s="6">
        <f t="shared" si="30"/>
        <v>0</v>
      </c>
      <c r="E438" s="6"/>
      <c r="F438" s="6">
        <f t="shared" si="34"/>
        <v>0</v>
      </c>
      <c r="G438" s="149">
        <f>INDEX('Step 4 Stage Discharge'!E$26:F$126,MATCH(F438,'Step 4 Stage Discharge'!E$26:E$126,1),2)+(INDEX('Step 4 Stage Discharge'!E$26:F$126,MATCH(F438,'Step 4 Stage Discharge'!E$26:E$126,1)+1,2)-INDEX('Step 4 Stage Discharge'!E$26:F$126,MATCH(F438,'Step 4 Stage Discharge'!E$26:E$126,1),2))*(F438-INDEX('Step 4 Stage Discharge'!E$26:F$126,MATCH(F438,'Step 4 Stage Discharge'!E$26:E$126,1),1))/(INDEX('Step 4 Stage Discharge'!E$26:F$126,MATCH(F438,'Step 4 Stage Discharge'!E$26:E$126,1)+1,1)-INDEX('Step 4 Stage Discharge'!E$26:F$126,MATCH(F438,'Step 4 Stage Discharge'!E$26:E$126,1),1))</f>
        <v>0</v>
      </c>
      <c r="H438" s="149"/>
      <c r="I438" s="149">
        <f>INDEX('Step 4 Stage Discharge'!E$26:M$126,MATCH(F438,'Step 4 Stage Discharge'!E$26:E$126,1),9)+(INDEX('Step 4 Stage Discharge'!E$26:M$126,MATCH('Step 5 Routing'!F438,'Step 4 Stage Discharge'!E$26:E$126,1)+1,9)-INDEX('Step 4 Stage Discharge'!E$26:M$126,MATCH('Step 5 Routing'!F438,'Step 4 Stage Discharge'!E$26:E$126,1),9))*('Step 5 Routing'!F438-INDEX('Step 4 Stage Discharge'!E$26:M$126,MATCH('Step 5 Routing'!F438,'Step 4 Stage Discharge'!E$26:E$126,1),1))/(INDEX('Step 4 Stage Discharge'!E$26:M$126,MATCH('Step 5 Routing'!F438,'Step 4 Stage Discharge'!E$26:E$126,1)+1,1)-INDEX('Step 4 Stage Discharge'!E$26:M$126,MATCH('Step 5 Routing'!F438,'Step 4 Stage Discharge'!E$26:E$126,1),1))</f>
        <v>4.3639431710317386E-3</v>
      </c>
      <c r="J438" s="149"/>
      <c r="K438" s="6">
        <f t="shared" si="31"/>
        <v>0</v>
      </c>
      <c r="L438" s="6">
        <f t="shared" si="32"/>
        <v>0</v>
      </c>
    </row>
    <row r="439" spans="1:12">
      <c r="A439">
        <f t="shared" si="33"/>
        <v>426</v>
      </c>
      <c r="B439" s="136">
        <f>IF(C$5=Data!D$3,'Step 2 Inflow Hydrograph'!H483,IF(C$5=Data!D$4,'Step 2 Inflow Hydrograph'!I483,IF(C$5=Data!D$5,'Step 2 Inflow Hydrograph'!J483,'Step 2 Inflow Hydrograph'!K483)))</f>
        <v>0</v>
      </c>
      <c r="C439" s="127"/>
      <c r="D439" s="6">
        <f t="shared" si="30"/>
        <v>0</v>
      </c>
      <c r="E439" s="6"/>
      <c r="F439" s="6">
        <f t="shared" si="34"/>
        <v>0</v>
      </c>
      <c r="G439" s="149">
        <f>INDEX('Step 4 Stage Discharge'!E$26:F$126,MATCH(F439,'Step 4 Stage Discharge'!E$26:E$126,1),2)+(INDEX('Step 4 Stage Discharge'!E$26:F$126,MATCH(F439,'Step 4 Stage Discharge'!E$26:E$126,1)+1,2)-INDEX('Step 4 Stage Discharge'!E$26:F$126,MATCH(F439,'Step 4 Stage Discharge'!E$26:E$126,1),2))*(F439-INDEX('Step 4 Stage Discharge'!E$26:F$126,MATCH(F439,'Step 4 Stage Discharge'!E$26:E$126,1),1))/(INDEX('Step 4 Stage Discharge'!E$26:F$126,MATCH(F439,'Step 4 Stage Discharge'!E$26:E$126,1)+1,1)-INDEX('Step 4 Stage Discharge'!E$26:F$126,MATCH(F439,'Step 4 Stage Discharge'!E$26:E$126,1),1))</f>
        <v>0</v>
      </c>
      <c r="H439" s="149"/>
      <c r="I439" s="149">
        <f>INDEX('Step 4 Stage Discharge'!E$26:M$126,MATCH(F439,'Step 4 Stage Discharge'!E$26:E$126,1),9)+(INDEX('Step 4 Stage Discharge'!E$26:M$126,MATCH('Step 5 Routing'!F439,'Step 4 Stage Discharge'!E$26:E$126,1)+1,9)-INDEX('Step 4 Stage Discharge'!E$26:M$126,MATCH('Step 5 Routing'!F439,'Step 4 Stage Discharge'!E$26:E$126,1),9))*('Step 5 Routing'!F439-INDEX('Step 4 Stage Discharge'!E$26:M$126,MATCH('Step 5 Routing'!F439,'Step 4 Stage Discharge'!E$26:E$126,1),1))/(INDEX('Step 4 Stage Discharge'!E$26:M$126,MATCH('Step 5 Routing'!F439,'Step 4 Stage Discharge'!E$26:E$126,1)+1,1)-INDEX('Step 4 Stage Discharge'!E$26:M$126,MATCH('Step 5 Routing'!F439,'Step 4 Stage Discharge'!E$26:E$126,1),1))</f>
        <v>4.3639431710317386E-3</v>
      </c>
      <c r="J439" s="149"/>
      <c r="K439" s="6">
        <f t="shared" si="31"/>
        <v>0</v>
      </c>
      <c r="L439" s="6">
        <f t="shared" si="32"/>
        <v>0</v>
      </c>
    </row>
    <row r="440" spans="1:12">
      <c r="A440">
        <f t="shared" si="33"/>
        <v>427</v>
      </c>
      <c r="B440" s="136">
        <f>IF(C$5=Data!D$3,'Step 2 Inflow Hydrograph'!H484,IF(C$5=Data!D$4,'Step 2 Inflow Hydrograph'!I484,IF(C$5=Data!D$5,'Step 2 Inflow Hydrograph'!J484,'Step 2 Inflow Hydrograph'!K484)))</f>
        <v>0</v>
      </c>
      <c r="C440" s="127"/>
      <c r="D440" s="6">
        <f t="shared" si="30"/>
        <v>0</v>
      </c>
      <c r="E440" s="6"/>
      <c r="F440" s="6">
        <f t="shared" si="34"/>
        <v>0</v>
      </c>
      <c r="G440" s="149">
        <f>INDEX('Step 4 Stage Discharge'!E$26:F$126,MATCH(F440,'Step 4 Stage Discharge'!E$26:E$126,1),2)+(INDEX('Step 4 Stage Discharge'!E$26:F$126,MATCH(F440,'Step 4 Stage Discharge'!E$26:E$126,1)+1,2)-INDEX('Step 4 Stage Discharge'!E$26:F$126,MATCH(F440,'Step 4 Stage Discharge'!E$26:E$126,1),2))*(F440-INDEX('Step 4 Stage Discharge'!E$26:F$126,MATCH(F440,'Step 4 Stage Discharge'!E$26:E$126,1),1))/(INDEX('Step 4 Stage Discharge'!E$26:F$126,MATCH(F440,'Step 4 Stage Discharge'!E$26:E$126,1)+1,1)-INDEX('Step 4 Stage Discharge'!E$26:F$126,MATCH(F440,'Step 4 Stage Discharge'!E$26:E$126,1),1))</f>
        <v>0</v>
      </c>
      <c r="H440" s="149"/>
      <c r="I440" s="149">
        <f>INDEX('Step 4 Stage Discharge'!E$26:M$126,MATCH(F440,'Step 4 Stage Discharge'!E$26:E$126,1),9)+(INDEX('Step 4 Stage Discharge'!E$26:M$126,MATCH('Step 5 Routing'!F440,'Step 4 Stage Discharge'!E$26:E$126,1)+1,9)-INDEX('Step 4 Stage Discharge'!E$26:M$126,MATCH('Step 5 Routing'!F440,'Step 4 Stage Discharge'!E$26:E$126,1),9))*('Step 5 Routing'!F440-INDEX('Step 4 Stage Discharge'!E$26:M$126,MATCH('Step 5 Routing'!F440,'Step 4 Stage Discharge'!E$26:E$126,1),1))/(INDEX('Step 4 Stage Discharge'!E$26:M$126,MATCH('Step 5 Routing'!F440,'Step 4 Stage Discharge'!E$26:E$126,1)+1,1)-INDEX('Step 4 Stage Discharge'!E$26:M$126,MATCH('Step 5 Routing'!F440,'Step 4 Stage Discharge'!E$26:E$126,1),1))</f>
        <v>4.3639431710317386E-3</v>
      </c>
      <c r="J440" s="149"/>
      <c r="K440" s="6">
        <f t="shared" si="31"/>
        <v>0</v>
      </c>
      <c r="L440" s="6">
        <f t="shared" si="32"/>
        <v>0</v>
      </c>
    </row>
    <row r="441" spans="1:12">
      <c r="A441">
        <f t="shared" si="33"/>
        <v>428</v>
      </c>
      <c r="B441" s="136">
        <f>IF(C$5=Data!D$3,'Step 2 Inflow Hydrograph'!H485,IF(C$5=Data!D$4,'Step 2 Inflow Hydrograph'!I485,IF(C$5=Data!D$5,'Step 2 Inflow Hydrograph'!J485,'Step 2 Inflow Hydrograph'!K485)))</f>
        <v>0</v>
      </c>
      <c r="C441" s="127"/>
      <c r="D441" s="6">
        <f t="shared" si="30"/>
        <v>0</v>
      </c>
      <c r="E441" s="6"/>
      <c r="F441" s="6">
        <f t="shared" si="34"/>
        <v>0</v>
      </c>
      <c r="G441" s="149">
        <f>INDEX('Step 4 Stage Discharge'!E$26:F$126,MATCH(F441,'Step 4 Stage Discharge'!E$26:E$126,1),2)+(INDEX('Step 4 Stage Discharge'!E$26:F$126,MATCH(F441,'Step 4 Stage Discharge'!E$26:E$126,1)+1,2)-INDEX('Step 4 Stage Discharge'!E$26:F$126,MATCH(F441,'Step 4 Stage Discharge'!E$26:E$126,1),2))*(F441-INDEX('Step 4 Stage Discharge'!E$26:F$126,MATCH(F441,'Step 4 Stage Discharge'!E$26:E$126,1),1))/(INDEX('Step 4 Stage Discharge'!E$26:F$126,MATCH(F441,'Step 4 Stage Discharge'!E$26:E$126,1)+1,1)-INDEX('Step 4 Stage Discharge'!E$26:F$126,MATCH(F441,'Step 4 Stage Discharge'!E$26:E$126,1),1))</f>
        <v>0</v>
      </c>
      <c r="H441" s="149"/>
      <c r="I441" s="149">
        <f>INDEX('Step 4 Stage Discharge'!E$26:M$126,MATCH(F441,'Step 4 Stage Discharge'!E$26:E$126,1),9)+(INDEX('Step 4 Stage Discharge'!E$26:M$126,MATCH('Step 5 Routing'!F441,'Step 4 Stage Discharge'!E$26:E$126,1)+1,9)-INDEX('Step 4 Stage Discharge'!E$26:M$126,MATCH('Step 5 Routing'!F441,'Step 4 Stage Discharge'!E$26:E$126,1),9))*('Step 5 Routing'!F441-INDEX('Step 4 Stage Discharge'!E$26:M$126,MATCH('Step 5 Routing'!F441,'Step 4 Stage Discharge'!E$26:E$126,1),1))/(INDEX('Step 4 Stage Discharge'!E$26:M$126,MATCH('Step 5 Routing'!F441,'Step 4 Stage Discharge'!E$26:E$126,1)+1,1)-INDEX('Step 4 Stage Discharge'!E$26:M$126,MATCH('Step 5 Routing'!F441,'Step 4 Stage Discharge'!E$26:E$126,1),1))</f>
        <v>4.3639431710317386E-3</v>
      </c>
      <c r="J441" s="149"/>
      <c r="K441" s="6">
        <f t="shared" si="31"/>
        <v>0</v>
      </c>
      <c r="L441" s="6">
        <f t="shared" si="32"/>
        <v>0</v>
      </c>
    </row>
    <row r="442" spans="1:12">
      <c r="A442">
        <f t="shared" si="33"/>
        <v>429</v>
      </c>
      <c r="B442" s="136">
        <f>IF(C$5=Data!D$3,'Step 2 Inflow Hydrograph'!H486,IF(C$5=Data!D$4,'Step 2 Inflow Hydrograph'!I486,IF(C$5=Data!D$5,'Step 2 Inflow Hydrograph'!J486,'Step 2 Inflow Hydrograph'!K486)))</f>
        <v>0</v>
      </c>
      <c r="C442" s="127"/>
      <c r="D442" s="6">
        <f t="shared" si="30"/>
        <v>0</v>
      </c>
      <c r="E442" s="6"/>
      <c r="F442" s="6">
        <f t="shared" si="34"/>
        <v>0</v>
      </c>
      <c r="G442" s="149">
        <f>INDEX('Step 4 Stage Discharge'!E$26:F$126,MATCH(F442,'Step 4 Stage Discharge'!E$26:E$126,1),2)+(INDEX('Step 4 Stage Discharge'!E$26:F$126,MATCH(F442,'Step 4 Stage Discharge'!E$26:E$126,1)+1,2)-INDEX('Step 4 Stage Discharge'!E$26:F$126,MATCH(F442,'Step 4 Stage Discharge'!E$26:E$126,1),2))*(F442-INDEX('Step 4 Stage Discharge'!E$26:F$126,MATCH(F442,'Step 4 Stage Discharge'!E$26:E$126,1),1))/(INDEX('Step 4 Stage Discharge'!E$26:F$126,MATCH(F442,'Step 4 Stage Discharge'!E$26:E$126,1)+1,1)-INDEX('Step 4 Stage Discharge'!E$26:F$126,MATCH(F442,'Step 4 Stage Discharge'!E$26:E$126,1),1))</f>
        <v>0</v>
      </c>
      <c r="H442" s="149"/>
      <c r="I442" s="149">
        <f>INDEX('Step 4 Stage Discharge'!E$26:M$126,MATCH(F442,'Step 4 Stage Discharge'!E$26:E$126,1),9)+(INDEX('Step 4 Stage Discharge'!E$26:M$126,MATCH('Step 5 Routing'!F442,'Step 4 Stage Discharge'!E$26:E$126,1)+1,9)-INDEX('Step 4 Stage Discharge'!E$26:M$126,MATCH('Step 5 Routing'!F442,'Step 4 Stage Discharge'!E$26:E$126,1),9))*('Step 5 Routing'!F442-INDEX('Step 4 Stage Discharge'!E$26:M$126,MATCH('Step 5 Routing'!F442,'Step 4 Stage Discharge'!E$26:E$126,1),1))/(INDEX('Step 4 Stage Discharge'!E$26:M$126,MATCH('Step 5 Routing'!F442,'Step 4 Stage Discharge'!E$26:E$126,1)+1,1)-INDEX('Step 4 Stage Discharge'!E$26:M$126,MATCH('Step 5 Routing'!F442,'Step 4 Stage Discharge'!E$26:E$126,1),1))</f>
        <v>4.3639431710317386E-3</v>
      </c>
      <c r="J442" s="149"/>
      <c r="K442" s="6">
        <f t="shared" si="31"/>
        <v>0</v>
      </c>
      <c r="L442" s="6">
        <f t="shared" si="32"/>
        <v>0</v>
      </c>
    </row>
    <row r="443" spans="1:12">
      <c r="A443">
        <f t="shared" si="33"/>
        <v>430</v>
      </c>
      <c r="B443" s="136">
        <f>IF(C$5=Data!D$3,'Step 2 Inflow Hydrograph'!H487,IF(C$5=Data!D$4,'Step 2 Inflow Hydrograph'!I487,IF(C$5=Data!D$5,'Step 2 Inflow Hydrograph'!J487,'Step 2 Inflow Hydrograph'!K487)))</f>
        <v>0</v>
      </c>
      <c r="C443" s="127"/>
      <c r="D443" s="6">
        <f t="shared" si="30"/>
        <v>0</v>
      </c>
      <c r="E443" s="6"/>
      <c r="F443" s="6">
        <f t="shared" si="34"/>
        <v>0</v>
      </c>
      <c r="G443" s="149">
        <f>INDEX('Step 4 Stage Discharge'!E$26:F$126,MATCH(F443,'Step 4 Stage Discharge'!E$26:E$126,1),2)+(INDEX('Step 4 Stage Discharge'!E$26:F$126,MATCH(F443,'Step 4 Stage Discharge'!E$26:E$126,1)+1,2)-INDEX('Step 4 Stage Discharge'!E$26:F$126,MATCH(F443,'Step 4 Stage Discharge'!E$26:E$126,1),2))*(F443-INDEX('Step 4 Stage Discharge'!E$26:F$126,MATCH(F443,'Step 4 Stage Discharge'!E$26:E$126,1),1))/(INDEX('Step 4 Stage Discharge'!E$26:F$126,MATCH(F443,'Step 4 Stage Discharge'!E$26:E$126,1)+1,1)-INDEX('Step 4 Stage Discharge'!E$26:F$126,MATCH(F443,'Step 4 Stage Discharge'!E$26:E$126,1),1))</f>
        <v>0</v>
      </c>
      <c r="H443" s="149"/>
      <c r="I443" s="149">
        <f>INDEX('Step 4 Stage Discharge'!E$26:M$126,MATCH(F443,'Step 4 Stage Discharge'!E$26:E$126,1),9)+(INDEX('Step 4 Stage Discharge'!E$26:M$126,MATCH('Step 5 Routing'!F443,'Step 4 Stage Discharge'!E$26:E$126,1)+1,9)-INDEX('Step 4 Stage Discharge'!E$26:M$126,MATCH('Step 5 Routing'!F443,'Step 4 Stage Discharge'!E$26:E$126,1),9))*('Step 5 Routing'!F443-INDEX('Step 4 Stage Discharge'!E$26:M$126,MATCH('Step 5 Routing'!F443,'Step 4 Stage Discharge'!E$26:E$126,1),1))/(INDEX('Step 4 Stage Discharge'!E$26:M$126,MATCH('Step 5 Routing'!F443,'Step 4 Stage Discharge'!E$26:E$126,1)+1,1)-INDEX('Step 4 Stage Discharge'!E$26:M$126,MATCH('Step 5 Routing'!F443,'Step 4 Stage Discharge'!E$26:E$126,1),1))</f>
        <v>4.3639431710317386E-3</v>
      </c>
      <c r="J443" s="149"/>
      <c r="K443" s="6">
        <f t="shared" si="31"/>
        <v>0</v>
      </c>
      <c r="L443" s="6">
        <f t="shared" si="32"/>
        <v>0</v>
      </c>
    </row>
    <row r="444" spans="1:12">
      <c r="A444">
        <f t="shared" si="33"/>
        <v>431</v>
      </c>
      <c r="B444" s="136">
        <f>IF(C$5=Data!D$3,'Step 2 Inflow Hydrograph'!H488,IF(C$5=Data!D$4,'Step 2 Inflow Hydrograph'!I488,IF(C$5=Data!D$5,'Step 2 Inflow Hydrograph'!J488,'Step 2 Inflow Hydrograph'!K488)))</f>
        <v>0</v>
      </c>
      <c r="C444" s="127"/>
      <c r="D444" s="6">
        <f t="shared" si="30"/>
        <v>0</v>
      </c>
      <c r="E444" s="6"/>
      <c r="F444" s="6">
        <f t="shared" si="34"/>
        <v>0</v>
      </c>
      <c r="G444" s="149">
        <f>INDEX('Step 4 Stage Discharge'!E$26:F$126,MATCH(F444,'Step 4 Stage Discharge'!E$26:E$126,1),2)+(INDEX('Step 4 Stage Discharge'!E$26:F$126,MATCH(F444,'Step 4 Stage Discharge'!E$26:E$126,1)+1,2)-INDEX('Step 4 Stage Discharge'!E$26:F$126,MATCH(F444,'Step 4 Stage Discharge'!E$26:E$126,1),2))*(F444-INDEX('Step 4 Stage Discharge'!E$26:F$126,MATCH(F444,'Step 4 Stage Discharge'!E$26:E$126,1),1))/(INDEX('Step 4 Stage Discharge'!E$26:F$126,MATCH(F444,'Step 4 Stage Discharge'!E$26:E$126,1)+1,1)-INDEX('Step 4 Stage Discharge'!E$26:F$126,MATCH(F444,'Step 4 Stage Discharge'!E$26:E$126,1),1))</f>
        <v>0</v>
      </c>
      <c r="H444" s="149"/>
      <c r="I444" s="149">
        <f>INDEX('Step 4 Stage Discharge'!E$26:M$126,MATCH(F444,'Step 4 Stage Discharge'!E$26:E$126,1),9)+(INDEX('Step 4 Stage Discharge'!E$26:M$126,MATCH('Step 5 Routing'!F444,'Step 4 Stage Discharge'!E$26:E$126,1)+1,9)-INDEX('Step 4 Stage Discharge'!E$26:M$126,MATCH('Step 5 Routing'!F444,'Step 4 Stage Discharge'!E$26:E$126,1),9))*('Step 5 Routing'!F444-INDEX('Step 4 Stage Discharge'!E$26:M$126,MATCH('Step 5 Routing'!F444,'Step 4 Stage Discharge'!E$26:E$126,1),1))/(INDEX('Step 4 Stage Discharge'!E$26:M$126,MATCH('Step 5 Routing'!F444,'Step 4 Stage Discharge'!E$26:E$126,1)+1,1)-INDEX('Step 4 Stage Discharge'!E$26:M$126,MATCH('Step 5 Routing'!F444,'Step 4 Stage Discharge'!E$26:E$126,1),1))</f>
        <v>4.3639431710317386E-3</v>
      </c>
      <c r="J444" s="149"/>
      <c r="K444" s="6">
        <f t="shared" si="31"/>
        <v>0</v>
      </c>
      <c r="L444" s="6">
        <f t="shared" si="32"/>
        <v>0</v>
      </c>
    </row>
    <row r="445" spans="1:12">
      <c r="A445">
        <f t="shared" si="33"/>
        <v>432</v>
      </c>
      <c r="B445" s="136">
        <f>IF(C$5=Data!D$3,'Step 2 Inflow Hydrograph'!H489,IF(C$5=Data!D$4,'Step 2 Inflow Hydrograph'!I489,IF(C$5=Data!D$5,'Step 2 Inflow Hydrograph'!J489,'Step 2 Inflow Hydrograph'!K489)))</f>
        <v>0</v>
      </c>
      <c r="C445" s="127"/>
      <c r="D445" s="6">
        <f t="shared" si="30"/>
        <v>0</v>
      </c>
      <c r="E445" s="6"/>
      <c r="F445" s="6">
        <f t="shared" si="34"/>
        <v>0</v>
      </c>
      <c r="G445" s="149">
        <f>INDEX('Step 4 Stage Discharge'!E$26:F$126,MATCH(F445,'Step 4 Stage Discharge'!E$26:E$126,1),2)+(INDEX('Step 4 Stage Discharge'!E$26:F$126,MATCH(F445,'Step 4 Stage Discharge'!E$26:E$126,1)+1,2)-INDEX('Step 4 Stage Discharge'!E$26:F$126,MATCH(F445,'Step 4 Stage Discharge'!E$26:E$126,1),2))*(F445-INDEX('Step 4 Stage Discharge'!E$26:F$126,MATCH(F445,'Step 4 Stage Discharge'!E$26:E$126,1),1))/(INDEX('Step 4 Stage Discharge'!E$26:F$126,MATCH(F445,'Step 4 Stage Discharge'!E$26:E$126,1)+1,1)-INDEX('Step 4 Stage Discharge'!E$26:F$126,MATCH(F445,'Step 4 Stage Discharge'!E$26:E$126,1),1))</f>
        <v>0</v>
      </c>
      <c r="H445" s="149"/>
      <c r="I445" s="149">
        <f>INDEX('Step 4 Stage Discharge'!E$26:M$126,MATCH(F445,'Step 4 Stage Discharge'!E$26:E$126,1),9)+(INDEX('Step 4 Stage Discharge'!E$26:M$126,MATCH('Step 5 Routing'!F445,'Step 4 Stage Discharge'!E$26:E$126,1)+1,9)-INDEX('Step 4 Stage Discharge'!E$26:M$126,MATCH('Step 5 Routing'!F445,'Step 4 Stage Discharge'!E$26:E$126,1),9))*('Step 5 Routing'!F445-INDEX('Step 4 Stage Discharge'!E$26:M$126,MATCH('Step 5 Routing'!F445,'Step 4 Stage Discharge'!E$26:E$126,1),1))/(INDEX('Step 4 Stage Discharge'!E$26:M$126,MATCH('Step 5 Routing'!F445,'Step 4 Stage Discharge'!E$26:E$126,1)+1,1)-INDEX('Step 4 Stage Discharge'!E$26:M$126,MATCH('Step 5 Routing'!F445,'Step 4 Stage Discharge'!E$26:E$126,1),1))</f>
        <v>4.3639431710317386E-3</v>
      </c>
      <c r="J445" s="149"/>
      <c r="K445" s="6">
        <f t="shared" si="31"/>
        <v>0</v>
      </c>
      <c r="L445" s="6">
        <f t="shared" si="32"/>
        <v>0</v>
      </c>
    </row>
    <row r="446" spans="1:12">
      <c r="A446">
        <f t="shared" si="33"/>
        <v>433</v>
      </c>
      <c r="B446" s="136">
        <f>IF(C$5=Data!D$3,'Step 2 Inflow Hydrograph'!H490,IF(C$5=Data!D$4,'Step 2 Inflow Hydrograph'!I490,IF(C$5=Data!D$5,'Step 2 Inflow Hydrograph'!J490,'Step 2 Inflow Hydrograph'!K490)))</f>
        <v>0</v>
      </c>
      <c r="C446" s="127"/>
      <c r="D446" s="6">
        <f t="shared" si="30"/>
        <v>0</v>
      </c>
      <c r="E446" s="6"/>
      <c r="F446" s="6">
        <f t="shared" si="34"/>
        <v>0</v>
      </c>
      <c r="G446" s="149">
        <f>INDEX('Step 4 Stage Discharge'!E$26:F$126,MATCH(F446,'Step 4 Stage Discharge'!E$26:E$126,1),2)+(INDEX('Step 4 Stage Discharge'!E$26:F$126,MATCH(F446,'Step 4 Stage Discharge'!E$26:E$126,1)+1,2)-INDEX('Step 4 Stage Discharge'!E$26:F$126,MATCH(F446,'Step 4 Stage Discharge'!E$26:E$126,1),2))*(F446-INDEX('Step 4 Stage Discharge'!E$26:F$126,MATCH(F446,'Step 4 Stage Discharge'!E$26:E$126,1),1))/(INDEX('Step 4 Stage Discharge'!E$26:F$126,MATCH(F446,'Step 4 Stage Discharge'!E$26:E$126,1)+1,1)-INDEX('Step 4 Stage Discharge'!E$26:F$126,MATCH(F446,'Step 4 Stage Discharge'!E$26:E$126,1),1))</f>
        <v>0</v>
      </c>
      <c r="H446" s="149"/>
      <c r="I446" s="149">
        <f>INDEX('Step 4 Stage Discharge'!E$26:M$126,MATCH(F446,'Step 4 Stage Discharge'!E$26:E$126,1),9)+(INDEX('Step 4 Stage Discharge'!E$26:M$126,MATCH('Step 5 Routing'!F446,'Step 4 Stage Discharge'!E$26:E$126,1)+1,9)-INDEX('Step 4 Stage Discharge'!E$26:M$126,MATCH('Step 5 Routing'!F446,'Step 4 Stage Discharge'!E$26:E$126,1),9))*('Step 5 Routing'!F446-INDEX('Step 4 Stage Discharge'!E$26:M$126,MATCH('Step 5 Routing'!F446,'Step 4 Stage Discharge'!E$26:E$126,1),1))/(INDEX('Step 4 Stage Discharge'!E$26:M$126,MATCH('Step 5 Routing'!F446,'Step 4 Stage Discharge'!E$26:E$126,1)+1,1)-INDEX('Step 4 Stage Discharge'!E$26:M$126,MATCH('Step 5 Routing'!F446,'Step 4 Stage Discharge'!E$26:E$126,1),1))</f>
        <v>4.3639431710317386E-3</v>
      </c>
      <c r="J446" s="149"/>
      <c r="K446" s="6">
        <f t="shared" si="31"/>
        <v>0</v>
      </c>
      <c r="L446" s="6">
        <f t="shared" si="32"/>
        <v>0</v>
      </c>
    </row>
    <row r="447" spans="1:12">
      <c r="A447">
        <f t="shared" si="33"/>
        <v>434</v>
      </c>
      <c r="B447" s="136">
        <f>IF(C$5=Data!D$3,'Step 2 Inflow Hydrograph'!H491,IF(C$5=Data!D$4,'Step 2 Inflow Hydrograph'!I491,IF(C$5=Data!D$5,'Step 2 Inflow Hydrograph'!J491,'Step 2 Inflow Hydrograph'!K491)))</f>
        <v>0</v>
      </c>
      <c r="C447" s="127"/>
      <c r="D447" s="6">
        <f t="shared" si="30"/>
        <v>0</v>
      </c>
      <c r="E447" s="6"/>
      <c r="F447" s="6">
        <f t="shared" si="34"/>
        <v>0</v>
      </c>
      <c r="G447" s="149">
        <f>INDEX('Step 4 Stage Discharge'!E$26:F$126,MATCH(F447,'Step 4 Stage Discharge'!E$26:E$126,1),2)+(INDEX('Step 4 Stage Discharge'!E$26:F$126,MATCH(F447,'Step 4 Stage Discharge'!E$26:E$126,1)+1,2)-INDEX('Step 4 Stage Discharge'!E$26:F$126,MATCH(F447,'Step 4 Stage Discharge'!E$26:E$126,1),2))*(F447-INDEX('Step 4 Stage Discharge'!E$26:F$126,MATCH(F447,'Step 4 Stage Discharge'!E$26:E$126,1),1))/(INDEX('Step 4 Stage Discharge'!E$26:F$126,MATCH(F447,'Step 4 Stage Discharge'!E$26:E$126,1)+1,1)-INDEX('Step 4 Stage Discharge'!E$26:F$126,MATCH(F447,'Step 4 Stage Discharge'!E$26:E$126,1),1))</f>
        <v>0</v>
      </c>
      <c r="H447" s="149"/>
      <c r="I447" s="149">
        <f>INDEX('Step 4 Stage Discharge'!E$26:M$126,MATCH(F447,'Step 4 Stage Discharge'!E$26:E$126,1),9)+(INDEX('Step 4 Stage Discharge'!E$26:M$126,MATCH('Step 5 Routing'!F447,'Step 4 Stage Discharge'!E$26:E$126,1)+1,9)-INDEX('Step 4 Stage Discharge'!E$26:M$126,MATCH('Step 5 Routing'!F447,'Step 4 Stage Discharge'!E$26:E$126,1),9))*('Step 5 Routing'!F447-INDEX('Step 4 Stage Discharge'!E$26:M$126,MATCH('Step 5 Routing'!F447,'Step 4 Stage Discharge'!E$26:E$126,1),1))/(INDEX('Step 4 Stage Discharge'!E$26:M$126,MATCH('Step 5 Routing'!F447,'Step 4 Stage Discharge'!E$26:E$126,1)+1,1)-INDEX('Step 4 Stage Discharge'!E$26:M$126,MATCH('Step 5 Routing'!F447,'Step 4 Stage Discharge'!E$26:E$126,1),1))</f>
        <v>4.3639431710317386E-3</v>
      </c>
      <c r="J447" s="149"/>
      <c r="K447" s="6">
        <f t="shared" si="31"/>
        <v>0</v>
      </c>
      <c r="L447" s="6">
        <f t="shared" si="32"/>
        <v>0</v>
      </c>
    </row>
    <row r="448" spans="1:12">
      <c r="A448">
        <f t="shared" si="33"/>
        <v>435</v>
      </c>
      <c r="B448" s="136">
        <f>IF(C$5=Data!D$3,'Step 2 Inflow Hydrograph'!H492,IF(C$5=Data!D$4,'Step 2 Inflow Hydrograph'!I492,IF(C$5=Data!D$5,'Step 2 Inflow Hydrograph'!J492,'Step 2 Inflow Hydrograph'!K492)))</f>
        <v>0</v>
      </c>
      <c r="C448" s="127"/>
      <c r="D448" s="6">
        <f t="shared" si="30"/>
        <v>0</v>
      </c>
      <c r="E448" s="6"/>
      <c r="F448" s="6">
        <f t="shared" si="34"/>
        <v>0</v>
      </c>
      <c r="G448" s="149">
        <f>INDEX('Step 4 Stage Discharge'!E$26:F$126,MATCH(F448,'Step 4 Stage Discharge'!E$26:E$126,1),2)+(INDEX('Step 4 Stage Discharge'!E$26:F$126,MATCH(F448,'Step 4 Stage Discharge'!E$26:E$126,1)+1,2)-INDEX('Step 4 Stage Discharge'!E$26:F$126,MATCH(F448,'Step 4 Stage Discharge'!E$26:E$126,1),2))*(F448-INDEX('Step 4 Stage Discharge'!E$26:F$126,MATCH(F448,'Step 4 Stage Discharge'!E$26:E$126,1),1))/(INDEX('Step 4 Stage Discharge'!E$26:F$126,MATCH(F448,'Step 4 Stage Discharge'!E$26:E$126,1)+1,1)-INDEX('Step 4 Stage Discharge'!E$26:F$126,MATCH(F448,'Step 4 Stage Discharge'!E$26:E$126,1),1))</f>
        <v>0</v>
      </c>
      <c r="H448" s="149"/>
      <c r="I448" s="149">
        <f>INDEX('Step 4 Stage Discharge'!E$26:M$126,MATCH(F448,'Step 4 Stage Discharge'!E$26:E$126,1),9)+(INDEX('Step 4 Stage Discharge'!E$26:M$126,MATCH('Step 5 Routing'!F448,'Step 4 Stage Discharge'!E$26:E$126,1)+1,9)-INDEX('Step 4 Stage Discharge'!E$26:M$126,MATCH('Step 5 Routing'!F448,'Step 4 Stage Discharge'!E$26:E$126,1),9))*('Step 5 Routing'!F448-INDEX('Step 4 Stage Discharge'!E$26:M$126,MATCH('Step 5 Routing'!F448,'Step 4 Stage Discharge'!E$26:E$126,1),1))/(INDEX('Step 4 Stage Discharge'!E$26:M$126,MATCH('Step 5 Routing'!F448,'Step 4 Stage Discharge'!E$26:E$126,1)+1,1)-INDEX('Step 4 Stage Discharge'!E$26:M$126,MATCH('Step 5 Routing'!F448,'Step 4 Stage Discharge'!E$26:E$126,1),1))</f>
        <v>4.3639431710317386E-3</v>
      </c>
      <c r="J448" s="149"/>
      <c r="K448" s="6">
        <f t="shared" si="31"/>
        <v>0</v>
      </c>
      <c r="L448" s="6">
        <f t="shared" si="32"/>
        <v>0</v>
      </c>
    </row>
    <row r="449" spans="1:12">
      <c r="A449">
        <f t="shared" si="33"/>
        <v>436</v>
      </c>
      <c r="B449" s="136">
        <f>IF(C$5=Data!D$3,'Step 2 Inflow Hydrograph'!H493,IF(C$5=Data!D$4,'Step 2 Inflow Hydrograph'!I493,IF(C$5=Data!D$5,'Step 2 Inflow Hydrograph'!J493,'Step 2 Inflow Hydrograph'!K493)))</f>
        <v>0</v>
      </c>
      <c r="C449" s="127"/>
      <c r="D449" s="6">
        <f t="shared" si="30"/>
        <v>0</v>
      </c>
      <c r="E449" s="6"/>
      <c r="F449" s="6">
        <f t="shared" si="34"/>
        <v>0</v>
      </c>
      <c r="G449" s="149">
        <f>INDEX('Step 4 Stage Discharge'!E$26:F$126,MATCH(F449,'Step 4 Stage Discharge'!E$26:E$126,1),2)+(INDEX('Step 4 Stage Discharge'!E$26:F$126,MATCH(F449,'Step 4 Stage Discharge'!E$26:E$126,1)+1,2)-INDEX('Step 4 Stage Discharge'!E$26:F$126,MATCH(F449,'Step 4 Stage Discharge'!E$26:E$126,1),2))*(F449-INDEX('Step 4 Stage Discharge'!E$26:F$126,MATCH(F449,'Step 4 Stage Discharge'!E$26:E$126,1),1))/(INDEX('Step 4 Stage Discharge'!E$26:F$126,MATCH(F449,'Step 4 Stage Discharge'!E$26:E$126,1)+1,1)-INDEX('Step 4 Stage Discharge'!E$26:F$126,MATCH(F449,'Step 4 Stage Discharge'!E$26:E$126,1),1))</f>
        <v>0</v>
      </c>
      <c r="H449" s="149"/>
      <c r="I449" s="149">
        <f>INDEX('Step 4 Stage Discharge'!E$26:M$126,MATCH(F449,'Step 4 Stage Discharge'!E$26:E$126,1),9)+(INDEX('Step 4 Stage Discharge'!E$26:M$126,MATCH('Step 5 Routing'!F449,'Step 4 Stage Discharge'!E$26:E$126,1)+1,9)-INDEX('Step 4 Stage Discharge'!E$26:M$126,MATCH('Step 5 Routing'!F449,'Step 4 Stage Discharge'!E$26:E$126,1),9))*('Step 5 Routing'!F449-INDEX('Step 4 Stage Discharge'!E$26:M$126,MATCH('Step 5 Routing'!F449,'Step 4 Stage Discharge'!E$26:E$126,1),1))/(INDEX('Step 4 Stage Discharge'!E$26:M$126,MATCH('Step 5 Routing'!F449,'Step 4 Stage Discharge'!E$26:E$126,1)+1,1)-INDEX('Step 4 Stage Discharge'!E$26:M$126,MATCH('Step 5 Routing'!F449,'Step 4 Stage Discharge'!E$26:E$126,1),1))</f>
        <v>4.3639431710317386E-3</v>
      </c>
      <c r="J449" s="149"/>
      <c r="K449" s="6">
        <f t="shared" si="31"/>
        <v>0</v>
      </c>
      <c r="L449" s="6">
        <f t="shared" si="32"/>
        <v>0</v>
      </c>
    </row>
    <row r="450" spans="1:12">
      <c r="A450">
        <f t="shared" si="33"/>
        <v>437</v>
      </c>
      <c r="B450" s="136">
        <f>IF(C$5=Data!D$3,'Step 2 Inflow Hydrograph'!H494,IF(C$5=Data!D$4,'Step 2 Inflow Hydrograph'!I494,IF(C$5=Data!D$5,'Step 2 Inflow Hydrograph'!J494,'Step 2 Inflow Hydrograph'!K494)))</f>
        <v>0</v>
      </c>
      <c r="C450" s="127"/>
      <c r="D450" s="6">
        <f t="shared" si="30"/>
        <v>0</v>
      </c>
      <c r="E450" s="6"/>
      <c r="F450" s="6">
        <f t="shared" si="34"/>
        <v>0</v>
      </c>
      <c r="G450" s="149">
        <f>INDEX('Step 4 Stage Discharge'!E$26:F$126,MATCH(F450,'Step 4 Stage Discharge'!E$26:E$126,1),2)+(INDEX('Step 4 Stage Discharge'!E$26:F$126,MATCH(F450,'Step 4 Stage Discharge'!E$26:E$126,1)+1,2)-INDEX('Step 4 Stage Discharge'!E$26:F$126,MATCH(F450,'Step 4 Stage Discharge'!E$26:E$126,1),2))*(F450-INDEX('Step 4 Stage Discharge'!E$26:F$126,MATCH(F450,'Step 4 Stage Discharge'!E$26:E$126,1),1))/(INDEX('Step 4 Stage Discharge'!E$26:F$126,MATCH(F450,'Step 4 Stage Discharge'!E$26:E$126,1)+1,1)-INDEX('Step 4 Stage Discharge'!E$26:F$126,MATCH(F450,'Step 4 Stage Discharge'!E$26:E$126,1),1))</f>
        <v>0</v>
      </c>
      <c r="H450" s="149"/>
      <c r="I450" s="149">
        <f>INDEX('Step 4 Stage Discharge'!E$26:M$126,MATCH(F450,'Step 4 Stage Discharge'!E$26:E$126,1),9)+(INDEX('Step 4 Stage Discharge'!E$26:M$126,MATCH('Step 5 Routing'!F450,'Step 4 Stage Discharge'!E$26:E$126,1)+1,9)-INDEX('Step 4 Stage Discharge'!E$26:M$126,MATCH('Step 5 Routing'!F450,'Step 4 Stage Discharge'!E$26:E$126,1),9))*('Step 5 Routing'!F450-INDEX('Step 4 Stage Discharge'!E$26:M$126,MATCH('Step 5 Routing'!F450,'Step 4 Stage Discharge'!E$26:E$126,1),1))/(INDEX('Step 4 Stage Discharge'!E$26:M$126,MATCH('Step 5 Routing'!F450,'Step 4 Stage Discharge'!E$26:E$126,1)+1,1)-INDEX('Step 4 Stage Discharge'!E$26:M$126,MATCH('Step 5 Routing'!F450,'Step 4 Stage Discharge'!E$26:E$126,1),1))</f>
        <v>4.3639431710317386E-3</v>
      </c>
      <c r="J450" s="149"/>
      <c r="K450" s="6">
        <f t="shared" si="31"/>
        <v>0</v>
      </c>
      <c r="L450" s="6">
        <f t="shared" si="32"/>
        <v>0</v>
      </c>
    </row>
    <row r="451" spans="1:12">
      <c r="A451">
        <f t="shared" si="33"/>
        <v>438</v>
      </c>
      <c r="B451" s="136">
        <f>IF(C$5=Data!D$3,'Step 2 Inflow Hydrograph'!H495,IF(C$5=Data!D$4,'Step 2 Inflow Hydrograph'!I495,IF(C$5=Data!D$5,'Step 2 Inflow Hydrograph'!J495,'Step 2 Inflow Hydrograph'!K495)))</f>
        <v>0</v>
      </c>
      <c r="C451" s="127"/>
      <c r="D451" s="6">
        <f t="shared" si="30"/>
        <v>0</v>
      </c>
      <c r="E451" s="6"/>
      <c r="F451" s="6">
        <f t="shared" si="34"/>
        <v>0</v>
      </c>
      <c r="G451" s="149">
        <f>INDEX('Step 4 Stage Discharge'!E$26:F$126,MATCH(F451,'Step 4 Stage Discharge'!E$26:E$126,1),2)+(INDEX('Step 4 Stage Discharge'!E$26:F$126,MATCH(F451,'Step 4 Stage Discharge'!E$26:E$126,1)+1,2)-INDEX('Step 4 Stage Discharge'!E$26:F$126,MATCH(F451,'Step 4 Stage Discharge'!E$26:E$126,1),2))*(F451-INDEX('Step 4 Stage Discharge'!E$26:F$126,MATCH(F451,'Step 4 Stage Discharge'!E$26:E$126,1),1))/(INDEX('Step 4 Stage Discharge'!E$26:F$126,MATCH(F451,'Step 4 Stage Discharge'!E$26:E$126,1)+1,1)-INDEX('Step 4 Stage Discharge'!E$26:F$126,MATCH(F451,'Step 4 Stage Discharge'!E$26:E$126,1),1))</f>
        <v>0</v>
      </c>
      <c r="H451" s="149"/>
      <c r="I451" s="149">
        <f>INDEX('Step 4 Stage Discharge'!E$26:M$126,MATCH(F451,'Step 4 Stage Discharge'!E$26:E$126,1),9)+(INDEX('Step 4 Stage Discharge'!E$26:M$126,MATCH('Step 5 Routing'!F451,'Step 4 Stage Discharge'!E$26:E$126,1)+1,9)-INDEX('Step 4 Stage Discharge'!E$26:M$126,MATCH('Step 5 Routing'!F451,'Step 4 Stage Discharge'!E$26:E$126,1),9))*('Step 5 Routing'!F451-INDEX('Step 4 Stage Discharge'!E$26:M$126,MATCH('Step 5 Routing'!F451,'Step 4 Stage Discharge'!E$26:E$126,1),1))/(INDEX('Step 4 Stage Discharge'!E$26:M$126,MATCH('Step 5 Routing'!F451,'Step 4 Stage Discharge'!E$26:E$126,1)+1,1)-INDEX('Step 4 Stage Discharge'!E$26:M$126,MATCH('Step 5 Routing'!F451,'Step 4 Stage Discharge'!E$26:E$126,1),1))</f>
        <v>4.3639431710317386E-3</v>
      </c>
      <c r="J451" s="149"/>
      <c r="K451" s="6">
        <f t="shared" si="31"/>
        <v>0</v>
      </c>
      <c r="L451" s="6">
        <f t="shared" si="32"/>
        <v>0</v>
      </c>
    </row>
    <row r="452" spans="1:12">
      <c r="A452">
        <f t="shared" si="33"/>
        <v>439</v>
      </c>
      <c r="B452" s="136">
        <f>IF(C$5=Data!D$3,'Step 2 Inflow Hydrograph'!H496,IF(C$5=Data!D$4,'Step 2 Inflow Hydrograph'!I496,IF(C$5=Data!D$5,'Step 2 Inflow Hydrograph'!J496,'Step 2 Inflow Hydrograph'!K496)))</f>
        <v>0</v>
      </c>
      <c r="C452" s="127"/>
      <c r="D452" s="6">
        <f t="shared" si="30"/>
        <v>0</v>
      </c>
      <c r="E452" s="6"/>
      <c r="F452" s="6">
        <f t="shared" si="34"/>
        <v>0</v>
      </c>
      <c r="G452" s="149">
        <f>INDEX('Step 4 Stage Discharge'!E$26:F$126,MATCH(F452,'Step 4 Stage Discharge'!E$26:E$126,1),2)+(INDEX('Step 4 Stage Discharge'!E$26:F$126,MATCH(F452,'Step 4 Stage Discharge'!E$26:E$126,1)+1,2)-INDEX('Step 4 Stage Discharge'!E$26:F$126,MATCH(F452,'Step 4 Stage Discharge'!E$26:E$126,1),2))*(F452-INDEX('Step 4 Stage Discharge'!E$26:F$126,MATCH(F452,'Step 4 Stage Discharge'!E$26:E$126,1),1))/(INDEX('Step 4 Stage Discharge'!E$26:F$126,MATCH(F452,'Step 4 Stage Discharge'!E$26:E$126,1)+1,1)-INDEX('Step 4 Stage Discharge'!E$26:F$126,MATCH(F452,'Step 4 Stage Discharge'!E$26:E$126,1),1))</f>
        <v>0</v>
      </c>
      <c r="H452" s="149"/>
      <c r="I452" s="149">
        <f>INDEX('Step 4 Stage Discharge'!E$26:M$126,MATCH(F452,'Step 4 Stage Discharge'!E$26:E$126,1),9)+(INDEX('Step 4 Stage Discharge'!E$26:M$126,MATCH('Step 5 Routing'!F452,'Step 4 Stage Discharge'!E$26:E$126,1)+1,9)-INDEX('Step 4 Stage Discharge'!E$26:M$126,MATCH('Step 5 Routing'!F452,'Step 4 Stage Discharge'!E$26:E$126,1),9))*('Step 5 Routing'!F452-INDEX('Step 4 Stage Discharge'!E$26:M$126,MATCH('Step 5 Routing'!F452,'Step 4 Stage Discharge'!E$26:E$126,1),1))/(INDEX('Step 4 Stage Discharge'!E$26:M$126,MATCH('Step 5 Routing'!F452,'Step 4 Stage Discharge'!E$26:E$126,1)+1,1)-INDEX('Step 4 Stage Discharge'!E$26:M$126,MATCH('Step 5 Routing'!F452,'Step 4 Stage Discharge'!E$26:E$126,1),1))</f>
        <v>4.3639431710317386E-3</v>
      </c>
      <c r="J452" s="149"/>
      <c r="K452" s="6">
        <f t="shared" si="31"/>
        <v>0</v>
      </c>
      <c r="L452" s="6">
        <f t="shared" si="32"/>
        <v>0</v>
      </c>
    </row>
    <row r="453" spans="1:12">
      <c r="A453">
        <f t="shared" si="33"/>
        <v>440</v>
      </c>
      <c r="B453" s="136">
        <f>IF(C$5=Data!D$3,'Step 2 Inflow Hydrograph'!H497,IF(C$5=Data!D$4,'Step 2 Inflow Hydrograph'!I497,IF(C$5=Data!D$5,'Step 2 Inflow Hydrograph'!J497,'Step 2 Inflow Hydrograph'!K497)))</f>
        <v>0</v>
      </c>
      <c r="C453" s="127"/>
      <c r="D453" s="6">
        <f t="shared" si="30"/>
        <v>0</v>
      </c>
      <c r="E453" s="6"/>
      <c r="F453" s="6">
        <f t="shared" si="34"/>
        <v>0</v>
      </c>
      <c r="G453" s="149">
        <f>INDEX('Step 4 Stage Discharge'!E$26:F$126,MATCH(F453,'Step 4 Stage Discharge'!E$26:E$126,1),2)+(INDEX('Step 4 Stage Discharge'!E$26:F$126,MATCH(F453,'Step 4 Stage Discharge'!E$26:E$126,1)+1,2)-INDEX('Step 4 Stage Discharge'!E$26:F$126,MATCH(F453,'Step 4 Stage Discharge'!E$26:E$126,1),2))*(F453-INDEX('Step 4 Stage Discharge'!E$26:F$126,MATCH(F453,'Step 4 Stage Discharge'!E$26:E$126,1),1))/(INDEX('Step 4 Stage Discharge'!E$26:F$126,MATCH(F453,'Step 4 Stage Discharge'!E$26:E$126,1)+1,1)-INDEX('Step 4 Stage Discharge'!E$26:F$126,MATCH(F453,'Step 4 Stage Discharge'!E$26:E$126,1),1))</f>
        <v>0</v>
      </c>
      <c r="H453" s="149"/>
      <c r="I453" s="149">
        <f>INDEX('Step 4 Stage Discharge'!E$26:M$126,MATCH(F453,'Step 4 Stage Discharge'!E$26:E$126,1),9)+(INDEX('Step 4 Stage Discharge'!E$26:M$126,MATCH('Step 5 Routing'!F453,'Step 4 Stage Discharge'!E$26:E$126,1)+1,9)-INDEX('Step 4 Stage Discharge'!E$26:M$126,MATCH('Step 5 Routing'!F453,'Step 4 Stage Discharge'!E$26:E$126,1),9))*('Step 5 Routing'!F453-INDEX('Step 4 Stage Discharge'!E$26:M$126,MATCH('Step 5 Routing'!F453,'Step 4 Stage Discharge'!E$26:E$126,1),1))/(INDEX('Step 4 Stage Discharge'!E$26:M$126,MATCH('Step 5 Routing'!F453,'Step 4 Stage Discharge'!E$26:E$126,1)+1,1)-INDEX('Step 4 Stage Discharge'!E$26:M$126,MATCH('Step 5 Routing'!F453,'Step 4 Stage Discharge'!E$26:E$126,1),1))</f>
        <v>4.3639431710317386E-3</v>
      </c>
      <c r="J453" s="149"/>
      <c r="K453" s="6">
        <f t="shared" si="31"/>
        <v>0</v>
      </c>
      <c r="L453" s="6">
        <f t="shared" si="32"/>
        <v>0</v>
      </c>
    </row>
    <row r="454" spans="1:12">
      <c r="A454">
        <f t="shared" si="33"/>
        <v>441</v>
      </c>
      <c r="B454" s="136">
        <f>IF(C$5=Data!D$3,'Step 2 Inflow Hydrograph'!H498,IF(C$5=Data!D$4,'Step 2 Inflow Hydrograph'!I498,IF(C$5=Data!D$5,'Step 2 Inflow Hydrograph'!J498,'Step 2 Inflow Hydrograph'!K498)))</f>
        <v>0</v>
      </c>
      <c r="C454" s="127"/>
      <c r="D454" s="6">
        <f t="shared" si="30"/>
        <v>0</v>
      </c>
      <c r="E454" s="6"/>
      <c r="F454" s="6">
        <f t="shared" si="34"/>
        <v>0</v>
      </c>
      <c r="G454" s="149">
        <f>INDEX('Step 4 Stage Discharge'!E$26:F$126,MATCH(F454,'Step 4 Stage Discharge'!E$26:E$126,1),2)+(INDEX('Step 4 Stage Discharge'!E$26:F$126,MATCH(F454,'Step 4 Stage Discharge'!E$26:E$126,1)+1,2)-INDEX('Step 4 Stage Discharge'!E$26:F$126,MATCH(F454,'Step 4 Stage Discharge'!E$26:E$126,1),2))*(F454-INDEX('Step 4 Stage Discharge'!E$26:F$126,MATCH(F454,'Step 4 Stage Discharge'!E$26:E$126,1),1))/(INDEX('Step 4 Stage Discharge'!E$26:F$126,MATCH(F454,'Step 4 Stage Discharge'!E$26:E$126,1)+1,1)-INDEX('Step 4 Stage Discharge'!E$26:F$126,MATCH(F454,'Step 4 Stage Discharge'!E$26:E$126,1),1))</f>
        <v>0</v>
      </c>
      <c r="H454" s="149"/>
      <c r="I454" s="149">
        <f>INDEX('Step 4 Stage Discharge'!E$26:M$126,MATCH(F454,'Step 4 Stage Discharge'!E$26:E$126,1),9)+(INDEX('Step 4 Stage Discharge'!E$26:M$126,MATCH('Step 5 Routing'!F454,'Step 4 Stage Discharge'!E$26:E$126,1)+1,9)-INDEX('Step 4 Stage Discharge'!E$26:M$126,MATCH('Step 5 Routing'!F454,'Step 4 Stage Discharge'!E$26:E$126,1),9))*('Step 5 Routing'!F454-INDEX('Step 4 Stage Discharge'!E$26:M$126,MATCH('Step 5 Routing'!F454,'Step 4 Stage Discharge'!E$26:E$126,1),1))/(INDEX('Step 4 Stage Discharge'!E$26:M$126,MATCH('Step 5 Routing'!F454,'Step 4 Stage Discharge'!E$26:E$126,1)+1,1)-INDEX('Step 4 Stage Discharge'!E$26:M$126,MATCH('Step 5 Routing'!F454,'Step 4 Stage Discharge'!E$26:E$126,1),1))</f>
        <v>4.3639431710317386E-3</v>
      </c>
      <c r="J454" s="149"/>
      <c r="K454" s="6">
        <f t="shared" si="31"/>
        <v>0</v>
      </c>
      <c r="L454" s="6">
        <f t="shared" si="32"/>
        <v>0</v>
      </c>
    </row>
    <row r="455" spans="1:12">
      <c r="A455">
        <f t="shared" si="33"/>
        <v>442</v>
      </c>
      <c r="B455" s="136">
        <f>IF(C$5=Data!D$3,'Step 2 Inflow Hydrograph'!H499,IF(C$5=Data!D$4,'Step 2 Inflow Hydrograph'!I499,IF(C$5=Data!D$5,'Step 2 Inflow Hydrograph'!J499,'Step 2 Inflow Hydrograph'!K499)))</f>
        <v>0</v>
      </c>
      <c r="C455" s="127"/>
      <c r="D455" s="6">
        <f t="shared" si="30"/>
        <v>0</v>
      </c>
      <c r="E455" s="6"/>
      <c r="F455" s="6">
        <f t="shared" si="34"/>
        <v>0</v>
      </c>
      <c r="G455" s="149">
        <f>INDEX('Step 4 Stage Discharge'!E$26:F$126,MATCH(F455,'Step 4 Stage Discharge'!E$26:E$126,1),2)+(INDEX('Step 4 Stage Discharge'!E$26:F$126,MATCH(F455,'Step 4 Stage Discharge'!E$26:E$126,1)+1,2)-INDEX('Step 4 Stage Discharge'!E$26:F$126,MATCH(F455,'Step 4 Stage Discharge'!E$26:E$126,1),2))*(F455-INDEX('Step 4 Stage Discharge'!E$26:F$126,MATCH(F455,'Step 4 Stage Discharge'!E$26:E$126,1),1))/(INDEX('Step 4 Stage Discharge'!E$26:F$126,MATCH(F455,'Step 4 Stage Discharge'!E$26:E$126,1)+1,1)-INDEX('Step 4 Stage Discharge'!E$26:F$126,MATCH(F455,'Step 4 Stage Discharge'!E$26:E$126,1),1))</f>
        <v>0</v>
      </c>
      <c r="H455" s="149"/>
      <c r="I455" s="149">
        <f>INDEX('Step 4 Stage Discharge'!E$26:M$126,MATCH(F455,'Step 4 Stage Discharge'!E$26:E$126,1),9)+(INDEX('Step 4 Stage Discharge'!E$26:M$126,MATCH('Step 5 Routing'!F455,'Step 4 Stage Discharge'!E$26:E$126,1)+1,9)-INDEX('Step 4 Stage Discharge'!E$26:M$126,MATCH('Step 5 Routing'!F455,'Step 4 Stage Discharge'!E$26:E$126,1),9))*('Step 5 Routing'!F455-INDEX('Step 4 Stage Discharge'!E$26:M$126,MATCH('Step 5 Routing'!F455,'Step 4 Stage Discharge'!E$26:E$126,1),1))/(INDEX('Step 4 Stage Discharge'!E$26:M$126,MATCH('Step 5 Routing'!F455,'Step 4 Stage Discharge'!E$26:E$126,1)+1,1)-INDEX('Step 4 Stage Discharge'!E$26:M$126,MATCH('Step 5 Routing'!F455,'Step 4 Stage Discharge'!E$26:E$126,1),1))</f>
        <v>4.3639431710317386E-3</v>
      </c>
      <c r="J455" s="149"/>
      <c r="K455" s="6">
        <f t="shared" si="31"/>
        <v>0</v>
      </c>
      <c r="L455" s="6">
        <f t="shared" si="32"/>
        <v>0</v>
      </c>
    </row>
    <row r="456" spans="1:12">
      <c r="A456">
        <f t="shared" si="33"/>
        <v>443</v>
      </c>
      <c r="B456" s="136">
        <f>IF(C$5=Data!D$3,'Step 2 Inflow Hydrograph'!H500,IF(C$5=Data!D$4,'Step 2 Inflow Hydrograph'!I500,IF(C$5=Data!D$5,'Step 2 Inflow Hydrograph'!J500,'Step 2 Inflow Hydrograph'!K500)))</f>
        <v>0</v>
      </c>
      <c r="C456" s="127"/>
      <c r="D456" s="6">
        <f t="shared" si="30"/>
        <v>0</v>
      </c>
      <c r="E456" s="6"/>
      <c r="F456" s="6">
        <f t="shared" si="34"/>
        <v>0</v>
      </c>
      <c r="G456" s="149">
        <f>INDEX('Step 4 Stage Discharge'!E$26:F$126,MATCH(F456,'Step 4 Stage Discharge'!E$26:E$126,1),2)+(INDEX('Step 4 Stage Discharge'!E$26:F$126,MATCH(F456,'Step 4 Stage Discharge'!E$26:E$126,1)+1,2)-INDEX('Step 4 Stage Discharge'!E$26:F$126,MATCH(F456,'Step 4 Stage Discharge'!E$26:E$126,1),2))*(F456-INDEX('Step 4 Stage Discharge'!E$26:F$126,MATCH(F456,'Step 4 Stage Discharge'!E$26:E$126,1),1))/(INDEX('Step 4 Stage Discharge'!E$26:F$126,MATCH(F456,'Step 4 Stage Discharge'!E$26:E$126,1)+1,1)-INDEX('Step 4 Stage Discharge'!E$26:F$126,MATCH(F456,'Step 4 Stage Discharge'!E$26:E$126,1),1))</f>
        <v>0</v>
      </c>
      <c r="H456" s="149"/>
      <c r="I456" s="149">
        <f>INDEX('Step 4 Stage Discharge'!E$26:M$126,MATCH(F456,'Step 4 Stage Discharge'!E$26:E$126,1),9)+(INDEX('Step 4 Stage Discharge'!E$26:M$126,MATCH('Step 5 Routing'!F456,'Step 4 Stage Discharge'!E$26:E$126,1)+1,9)-INDEX('Step 4 Stage Discharge'!E$26:M$126,MATCH('Step 5 Routing'!F456,'Step 4 Stage Discharge'!E$26:E$126,1),9))*('Step 5 Routing'!F456-INDEX('Step 4 Stage Discharge'!E$26:M$126,MATCH('Step 5 Routing'!F456,'Step 4 Stage Discharge'!E$26:E$126,1),1))/(INDEX('Step 4 Stage Discharge'!E$26:M$126,MATCH('Step 5 Routing'!F456,'Step 4 Stage Discharge'!E$26:E$126,1)+1,1)-INDEX('Step 4 Stage Discharge'!E$26:M$126,MATCH('Step 5 Routing'!F456,'Step 4 Stage Discharge'!E$26:E$126,1),1))</f>
        <v>4.3639431710317386E-3</v>
      </c>
      <c r="J456" s="149"/>
      <c r="K456" s="6">
        <f t="shared" si="31"/>
        <v>0</v>
      </c>
      <c r="L456" s="6">
        <f t="shared" si="32"/>
        <v>0</v>
      </c>
    </row>
    <row r="457" spans="1:12">
      <c r="A457">
        <f t="shared" si="33"/>
        <v>444</v>
      </c>
      <c r="B457" s="136">
        <f>IF(C$5=Data!D$3,'Step 2 Inflow Hydrograph'!H501,IF(C$5=Data!D$4,'Step 2 Inflow Hydrograph'!I501,IF(C$5=Data!D$5,'Step 2 Inflow Hydrograph'!J501,'Step 2 Inflow Hydrograph'!K501)))</f>
        <v>0</v>
      </c>
      <c r="C457" s="127"/>
      <c r="D457" s="6">
        <f t="shared" si="30"/>
        <v>0</v>
      </c>
      <c r="E457" s="6"/>
      <c r="F457" s="6">
        <f t="shared" si="34"/>
        <v>0</v>
      </c>
      <c r="G457" s="149">
        <f>INDEX('Step 4 Stage Discharge'!E$26:F$126,MATCH(F457,'Step 4 Stage Discharge'!E$26:E$126,1),2)+(INDEX('Step 4 Stage Discharge'!E$26:F$126,MATCH(F457,'Step 4 Stage Discharge'!E$26:E$126,1)+1,2)-INDEX('Step 4 Stage Discharge'!E$26:F$126,MATCH(F457,'Step 4 Stage Discharge'!E$26:E$126,1),2))*(F457-INDEX('Step 4 Stage Discharge'!E$26:F$126,MATCH(F457,'Step 4 Stage Discharge'!E$26:E$126,1),1))/(INDEX('Step 4 Stage Discharge'!E$26:F$126,MATCH(F457,'Step 4 Stage Discharge'!E$26:E$126,1)+1,1)-INDEX('Step 4 Stage Discharge'!E$26:F$126,MATCH(F457,'Step 4 Stage Discharge'!E$26:E$126,1),1))</f>
        <v>0</v>
      </c>
      <c r="H457" s="149"/>
      <c r="I457" s="149">
        <f>INDEX('Step 4 Stage Discharge'!E$26:M$126,MATCH(F457,'Step 4 Stage Discharge'!E$26:E$126,1),9)+(INDEX('Step 4 Stage Discharge'!E$26:M$126,MATCH('Step 5 Routing'!F457,'Step 4 Stage Discharge'!E$26:E$126,1)+1,9)-INDEX('Step 4 Stage Discharge'!E$26:M$126,MATCH('Step 5 Routing'!F457,'Step 4 Stage Discharge'!E$26:E$126,1),9))*('Step 5 Routing'!F457-INDEX('Step 4 Stage Discharge'!E$26:M$126,MATCH('Step 5 Routing'!F457,'Step 4 Stage Discharge'!E$26:E$126,1),1))/(INDEX('Step 4 Stage Discharge'!E$26:M$126,MATCH('Step 5 Routing'!F457,'Step 4 Stage Discharge'!E$26:E$126,1)+1,1)-INDEX('Step 4 Stage Discharge'!E$26:M$126,MATCH('Step 5 Routing'!F457,'Step 4 Stage Discharge'!E$26:E$126,1),1))</f>
        <v>4.3639431710317386E-3</v>
      </c>
      <c r="J457" s="149"/>
      <c r="K457" s="6">
        <f t="shared" si="31"/>
        <v>0</v>
      </c>
      <c r="L457" s="6">
        <f t="shared" si="32"/>
        <v>0</v>
      </c>
    </row>
    <row r="458" spans="1:12">
      <c r="A458">
        <f t="shared" si="33"/>
        <v>445</v>
      </c>
      <c r="B458" s="136">
        <f>IF(C$5=Data!D$3,'Step 2 Inflow Hydrograph'!H502,IF(C$5=Data!D$4,'Step 2 Inflow Hydrograph'!I502,IF(C$5=Data!D$5,'Step 2 Inflow Hydrograph'!J502,'Step 2 Inflow Hydrograph'!K502)))</f>
        <v>0</v>
      </c>
      <c r="C458" s="127"/>
      <c r="D458" s="6">
        <f t="shared" si="30"/>
        <v>0</v>
      </c>
      <c r="E458" s="6"/>
      <c r="F458" s="6">
        <f t="shared" si="34"/>
        <v>0</v>
      </c>
      <c r="G458" s="149">
        <f>INDEX('Step 4 Stage Discharge'!E$26:F$126,MATCH(F458,'Step 4 Stage Discharge'!E$26:E$126,1),2)+(INDEX('Step 4 Stage Discharge'!E$26:F$126,MATCH(F458,'Step 4 Stage Discharge'!E$26:E$126,1)+1,2)-INDEX('Step 4 Stage Discharge'!E$26:F$126,MATCH(F458,'Step 4 Stage Discharge'!E$26:E$126,1),2))*(F458-INDEX('Step 4 Stage Discharge'!E$26:F$126,MATCH(F458,'Step 4 Stage Discharge'!E$26:E$126,1),1))/(INDEX('Step 4 Stage Discharge'!E$26:F$126,MATCH(F458,'Step 4 Stage Discharge'!E$26:E$126,1)+1,1)-INDEX('Step 4 Stage Discharge'!E$26:F$126,MATCH(F458,'Step 4 Stage Discharge'!E$26:E$126,1),1))</f>
        <v>0</v>
      </c>
      <c r="H458" s="149"/>
      <c r="I458" s="149">
        <f>INDEX('Step 4 Stage Discharge'!E$26:M$126,MATCH(F458,'Step 4 Stage Discharge'!E$26:E$126,1),9)+(INDEX('Step 4 Stage Discharge'!E$26:M$126,MATCH('Step 5 Routing'!F458,'Step 4 Stage Discharge'!E$26:E$126,1)+1,9)-INDEX('Step 4 Stage Discharge'!E$26:M$126,MATCH('Step 5 Routing'!F458,'Step 4 Stage Discharge'!E$26:E$126,1),9))*('Step 5 Routing'!F458-INDEX('Step 4 Stage Discharge'!E$26:M$126,MATCH('Step 5 Routing'!F458,'Step 4 Stage Discharge'!E$26:E$126,1),1))/(INDEX('Step 4 Stage Discharge'!E$26:M$126,MATCH('Step 5 Routing'!F458,'Step 4 Stage Discharge'!E$26:E$126,1)+1,1)-INDEX('Step 4 Stage Discharge'!E$26:M$126,MATCH('Step 5 Routing'!F458,'Step 4 Stage Discharge'!E$26:E$126,1),1))</f>
        <v>4.3639431710317386E-3</v>
      </c>
      <c r="J458" s="149"/>
      <c r="K458" s="6">
        <f t="shared" si="31"/>
        <v>0</v>
      </c>
      <c r="L458" s="6">
        <f t="shared" si="32"/>
        <v>0</v>
      </c>
    </row>
    <row r="459" spans="1:12">
      <c r="A459">
        <f t="shared" si="33"/>
        <v>446</v>
      </c>
      <c r="B459" s="136">
        <f>IF(C$5=Data!D$3,'Step 2 Inflow Hydrograph'!H503,IF(C$5=Data!D$4,'Step 2 Inflow Hydrograph'!I503,IF(C$5=Data!D$5,'Step 2 Inflow Hydrograph'!J503,'Step 2 Inflow Hydrograph'!K503)))</f>
        <v>0</v>
      </c>
      <c r="C459" s="127"/>
      <c r="D459" s="6">
        <f t="shared" si="30"/>
        <v>0</v>
      </c>
      <c r="E459" s="6"/>
      <c r="F459" s="6">
        <f t="shared" si="34"/>
        <v>0</v>
      </c>
      <c r="G459" s="149">
        <f>INDEX('Step 4 Stage Discharge'!E$26:F$126,MATCH(F459,'Step 4 Stage Discharge'!E$26:E$126,1),2)+(INDEX('Step 4 Stage Discharge'!E$26:F$126,MATCH(F459,'Step 4 Stage Discharge'!E$26:E$126,1)+1,2)-INDEX('Step 4 Stage Discharge'!E$26:F$126,MATCH(F459,'Step 4 Stage Discharge'!E$26:E$126,1),2))*(F459-INDEX('Step 4 Stage Discharge'!E$26:F$126,MATCH(F459,'Step 4 Stage Discharge'!E$26:E$126,1),1))/(INDEX('Step 4 Stage Discharge'!E$26:F$126,MATCH(F459,'Step 4 Stage Discharge'!E$26:E$126,1)+1,1)-INDEX('Step 4 Stage Discharge'!E$26:F$126,MATCH(F459,'Step 4 Stage Discharge'!E$26:E$126,1),1))</f>
        <v>0</v>
      </c>
      <c r="H459" s="149"/>
      <c r="I459" s="149">
        <f>INDEX('Step 4 Stage Discharge'!E$26:M$126,MATCH(F459,'Step 4 Stage Discharge'!E$26:E$126,1),9)+(INDEX('Step 4 Stage Discharge'!E$26:M$126,MATCH('Step 5 Routing'!F459,'Step 4 Stage Discharge'!E$26:E$126,1)+1,9)-INDEX('Step 4 Stage Discharge'!E$26:M$126,MATCH('Step 5 Routing'!F459,'Step 4 Stage Discharge'!E$26:E$126,1),9))*('Step 5 Routing'!F459-INDEX('Step 4 Stage Discharge'!E$26:M$126,MATCH('Step 5 Routing'!F459,'Step 4 Stage Discharge'!E$26:E$126,1),1))/(INDEX('Step 4 Stage Discharge'!E$26:M$126,MATCH('Step 5 Routing'!F459,'Step 4 Stage Discharge'!E$26:E$126,1)+1,1)-INDEX('Step 4 Stage Discharge'!E$26:M$126,MATCH('Step 5 Routing'!F459,'Step 4 Stage Discharge'!E$26:E$126,1),1))</f>
        <v>4.3639431710317386E-3</v>
      </c>
      <c r="J459" s="149"/>
      <c r="K459" s="6">
        <f t="shared" si="31"/>
        <v>0</v>
      </c>
      <c r="L459" s="6">
        <f t="shared" si="32"/>
        <v>0</v>
      </c>
    </row>
    <row r="460" spans="1:12">
      <c r="A460">
        <f t="shared" si="33"/>
        <v>447</v>
      </c>
      <c r="B460" s="136">
        <f>IF(C$5=Data!D$3,'Step 2 Inflow Hydrograph'!H504,IF(C$5=Data!D$4,'Step 2 Inflow Hydrograph'!I504,IF(C$5=Data!D$5,'Step 2 Inflow Hydrograph'!J504,'Step 2 Inflow Hydrograph'!K504)))</f>
        <v>0</v>
      </c>
      <c r="C460" s="127"/>
      <c r="D460" s="6">
        <f t="shared" si="30"/>
        <v>0</v>
      </c>
      <c r="E460" s="6"/>
      <c r="F460" s="6">
        <f t="shared" si="34"/>
        <v>0</v>
      </c>
      <c r="G460" s="149">
        <f>INDEX('Step 4 Stage Discharge'!E$26:F$126,MATCH(F460,'Step 4 Stage Discharge'!E$26:E$126,1),2)+(INDEX('Step 4 Stage Discharge'!E$26:F$126,MATCH(F460,'Step 4 Stage Discharge'!E$26:E$126,1)+1,2)-INDEX('Step 4 Stage Discharge'!E$26:F$126,MATCH(F460,'Step 4 Stage Discharge'!E$26:E$126,1),2))*(F460-INDEX('Step 4 Stage Discharge'!E$26:F$126,MATCH(F460,'Step 4 Stage Discharge'!E$26:E$126,1),1))/(INDEX('Step 4 Stage Discharge'!E$26:F$126,MATCH(F460,'Step 4 Stage Discharge'!E$26:E$126,1)+1,1)-INDEX('Step 4 Stage Discharge'!E$26:F$126,MATCH(F460,'Step 4 Stage Discharge'!E$26:E$126,1),1))</f>
        <v>0</v>
      </c>
      <c r="H460" s="149"/>
      <c r="I460" s="149">
        <f>INDEX('Step 4 Stage Discharge'!E$26:M$126,MATCH(F460,'Step 4 Stage Discharge'!E$26:E$126,1),9)+(INDEX('Step 4 Stage Discharge'!E$26:M$126,MATCH('Step 5 Routing'!F460,'Step 4 Stage Discharge'!E$26:E$126,1)+1,9)-INDEX('Step 4 Stage Discharge'!E$26:M$126,MATCH('Step 5 Routing'!F460,'Step 4 Stage Discharge'!E$26:E$126,1),9))*('Step 5 Routing'!F460-INDEX('Step 4 Stage Discharge'!E$26:M$126,MATCH('Step 5 Routing'!F460,'Step 4 Stage Discharge'!E$26:E$126,1),1))/(INDEX('Step 4 Stage Discharge'!E$26:M$126,MATCH('Step 5 Routing'!F460,'Step 4 Stage Discharge'!E$26:E$126,1)+1,1)-INDEX('Step 4 Stage Discharge'!E$26:M$126,MATCH('Step 5 Routing'!F460,'Step 4 Stage Discharge'!E$26:E$126,1),1))</f>
        <v>4.3639431710317386E-3</v>
      </c>
      <c r="J460" s="149"/>
      <c r="K460" s="6">
        <f t="shared" si="31"/>
        <v>0</v>
      </c>
      <c r="L460" s="6">
        <f t="shared" si="32"/>
        <v>0</v>
      </c>
    </row>
    <row r="461" spans="1:12">
      <c r="A461">
        <f t="shared" si="33"/>
        <v>448</v>
      </c>
      <c r="B461" s="136">
        <f>IF(C$5=Data!D$3,'Step 2 Inflow Hydrograph'!H505,IF(C$5=Data!D$4,'Step 2 Inflow Hydrograph'!I505,IF(C$5=Data!D$5,'Step 2 Inflow Hydrograph'!J505,'Step 2 Inflow Hydrograph'!K505)))</f>
        <v>0</v>
      </c>
      <c r="C461" s="127"/>
      <c r="D461" s="6">
        <f t="shared" ref="D461:D524" si="35">IF(B461="",0,B461*D$8*60)</f>
        <v>0</v>
      </c>
      <c r="E461" s="6"/>
      <c r="F461" s="6">
        <f t="shared" si="34"/>
        <v>0</v>
      </c>
      <c r="G461" s="149">
        <f>INDEX('Step 4 Stage Discharge'!E$26:F$126,MATCH(F461,'Step 4 Stage Discharge'!E$26:E$126,1),2)+(INDEX('Step 4 Stage Discharge'!E$26:F$126,MATCH(F461,'Step 4 Stage Discharge'!E$26:E$126,1)+1,2)-INDEX('Step 4 Stage Discharge'!E$26:F$126,MATCH(F461,'Step 4 Stage Discharge'!E$26:E$126,1),2))*(F461-INDEX('Step 4 Stage Discharge'!E$26:F$126,MATCH(F461,'Step 4 Stage Discharge'!E$26:E$126,1),1))/(INDEX('Step 4 Stage Discharge'!E$26:F$126,MATCH(F461,'Step 4 Stage Discharge'!E$26:E$126,1)+1,1)-INDEX('Step 4 Stage Discharge'!E$26:F$126,MATCH(F461,'Step 4 Stage Discharge'!E$26:E$126,1),1))</f>
        <v>0</v>
      </c>
      <c r="H461" s="149"/>
      <c r="I461" s="149">
        <f>INDEX('Step 4 Stage Discharge'!E$26:M$126,MATCH(F461,'Step 4 Stage Discharge'!E$26:E$126,1),9)+(INDEX('Step 4 Stage Discharge'!E$26:M$126,MATCH('Step 5 Routing'!F461,'Step 4 Stage Discharge'!E$26:E$126,1)+1,9)-INDEX('Step 4 Stage Discharge'!E$26:M$126,MATCH('Step 5 Routing'!F461,'Step 4 Stage Discharge'!E$26:E$126,1),9))*('Step 5 Routing'!F461-INDEX('Step 4 Stage Discharge'!E$26:M$126,MATCH('Step 5 Routing'!F461,'Step 4 Stage Discharge'!E$26:E$126,1),1))/(INDEX('Step 4 Stage Discharge'!E$26:M$126,MATCH('Step 5 Routing'!F461,'Step 4 Stage Discharge'!E$26:E$126,1)+1,1)-INDEX('Step 4 Stage Discharge'!E$26:M$126,MATCH('Step 5 Routing'!F461,'Step 4 Stage Discharge'!E$26:E$126,1),1))</f>
        <v>4.3639431710317386E-3</v>
      </c>
      <c r="J461" s="149"/>
      <c r="K461" s="6">
        <f t="shared" ref="K461:K524" si="36">IF(I461*60*D$8&gt;F461,F461,I461*60*D$8)</f>
        <v>0</v>
      </c>
      <c r="L461" s="6">
        <f t="shared" ref="L461:L524" si="37">IF(F461-K461&lt;0,0,F461-K461)</f>
        <v>0</v>
      </c>
    </row>
    <row r="462" spans="1:12">
      <c r="A462">
        <f t="shared" ref="A462:A525" si="38">+A461+D$8</f>
        <v>449</v>
      </c>
      <c r="B462" s="136">
        <f>IF(C$5=Data!D$3,'Step 2 Inflow Hydrograph'!H506,IF(C$5=Data!D$4,'Step 2 Inflow Hydrograph'!I506,IF(C$5=Data!D$5,'Step 2 Inflow Hydrograph'!J506,'Step 2 Inflow Hydrograph'!K506)))</f>
        <v>0</v>
      </c>
      <c r="C462" s="127"/>
      <c r="D462" s="6">
        <f t="shared" si="35"/>
        <v>0</v>
      </c>
      <c r="E462" s="6"/>
      <c r="F462" s="6">
        <f t="shared" ref="F462:F525" si="39">+L461+D462</f>
        <v>0</v>
      </c>
      <c r="G462" s="149">
        <f>INDEX('Step 4 Stage Discharge'!E$26:F$126,MATCH(F462,'Step 4 Stage Discharge'!E$26:E$126,1),2)+(INDEX('Step 4 Stage Discharge'!E$26:F$126,MATCH(F462,'Step 4 Stage Discharge'!E$26:E$126,1)+1,2)-INDEX('Step 4 Stage Discharge'!E$26:F$126,MATCH(F462,'Step 4 Stage Discharge'!E$26:E$126,1),2))*(F462-INDEX('Step 4 Stage Discharge'!E$26:F$126,MATCH(F462,'Step 4 Stage Discharge'!E$26:E$126,1),1))/(INDEX('Step 4 Stage Discharge'!E$26:F$126,MATCH(F462,'Step 4 Stage Discharge'!E$26:E$126,1)+1,1)-INDEX('Step 4 Stage Discharge'!E$26:F$126,MATCH(F462,'Step 4 Stage Discharge'!E$26:E$126,1),1))</f>
        <v>0</v>
      </c>
      <c r="H462" s="149"/>
      <c r="I462" s="149">
        <f>INDEX('Step 4 Stage Discharge'!E$26:M$126,MATCH(F462,'Step 4 Stage Discharge'!E$26:E$126,1),9)+(INDEX('Step 4 Stage Discharge'!E$26:M$126,MATCH('Step 5 Routing'!F462,'Step 4 Stage Discharge'!E$26:E$126,1)+1,9)-INDEX('Step 4 Stage Discharge'!E$26:M$126,MATCH('Step 5 Routing'!F462,'Step 4 Stage Discharge'!E$26:E$126,1),9))*('Step 5 Routing'!F462-INDEX('Step 4 Stage Discharge'!E$26:M$126,MATCH('Step 5 Routing'!F462,'Step 4 Stage Discharge'!E$26:E$126,1),1))/(INDEX('Step 4 Stage Discharge'!E$26:M$126,MATCH('Step 5 Routing'!F462,'Step 4 Stage Discharge'!E$26:E$126,1)+1,1)-INDEX('Step 4 Stage Discharge'!E$26:M$126,MATCH('Step 5 Routing'!F462,'Step 4 Stage Discharge'!E$26:E$126,1),1))</f>
        <v>4.3639431710317386E-3</v>
      </c>
      <c r="J462" s="149"/>
      <c r="K462" s="6">
        <f t="shared" si="36"/>
        <v>0</v>
      </c>
      <c r="L462" s="6">
        <f t="shared" si="37"/>
        <v>0</v>
      </c>
    </row>
    <row r="463" spans="1:12">
      <c r="A463">
        <f t="shared" si="38"/>
        <v>450</v>
      </c>
      <c r="B463" s="136">
        <f>IF(C$5=Data!D$3,'Step 2 Inflow Hydrograph'!H507,IF(C$5=Data!D$4,'Step 2 Inflow Hydrograph'!I507,IF(C$5=Data!D$5,'Step 2 Inflow Hydrograph'!J507,'Step 2 Inflow Hydrograph'!K507)))</f>
        <v>0</v>
      </c>
      <c r="C463" s="127"/>
      <c r="D463" s="6">
        <f t="shared" si="35"/>
        <v>0</v>
      </c>
      <c r="E463" s="6"/>
      <c r="F463" s="6">
        <f t="shared" si="39"/>
        <v>0</v>
      </c>
      <c r="G463" s="149">
        <f>INDEX('Step 4 Stage Discharge'!E$26:F$126,MATCH(F463,'Step 4 Stage Discharge'!E$26:E$126,1),2)+(INDEX('Step 4 Stage Discharge'!E$26:F$126,MATCH(F463,'Step 4 Stage Discharge'!E$26:E$126,1)+1,2)-INDEX('Step 4 Stage Discharge'!E$26:F$126,MATCH(F463,'Step 4 Stage Discharge'!E$26:E$126,1),2))*(F463-INDEX('Step 4 Stage Discharge'!E$26:F$126,MATCH(F463,'Step 4 Stage Discharge'!E$26:E$126,1),1))/(INDEX('Step 4 Stage Discharge'!E$26:F$126,MATCH(F463,'Step 4 Stage Discharge'!E$26:E$126,1)+1,1)-INDEX('Step 4 Stage Discharge'!E$26:F$126,MATCH(F463,'Step 4 Stage Discharge'!E$26:E$126,1),1))</f>
        <v>0</v>
      </c>
      <c r="H463" s="149"/>
      <c r="I463" s="149">
        <f>INDEX('Step 4 Stage Discharge'!E$26:M$126,MATCH(F463,'Step 4 Stage Discharge'!E$26:E$126,1),9)+(INDEX('Step 4 Stage Discharge'!E$26:M$126,MATCH('Step 5 Routing'!F463,'Step 4 Stage Discharge'!E$26:E$126,1)+1,9)-INDEX('Step 4 Stage Discharge'!E$26:M$126,MATCH('Step 5 Routing'!F463,'Step 4 Stage Discharge'!E$26:E$126,1),9))*('Step 5 Routing'!F463-INDEX('Step 4 Stage Discharge'!E$26:M$126,MATCH('Step 5 Routing'!F463,'Step 4 Stage Discharge'!E$26:E$126,1),1))/(INDEX('Step 4 Stage Discharge'!E$26:M$126,MATCH('Step 5 Routing'!F463,'Step 4 Stage Discharge'!E$26:E$126,1)+1,1)-INDEX('Step 4 Stage Discharge'!E$26:M$126,MATCH('Step 5 Routing'!F463,'Step 4 Stage Discharge'!E$26:E$126,1),1))</f>
        <v>4.3639431710317386E-3</v>
      </c>
      <c r="J463" s="149"/>
      <c r="K463" s="6">
        <f t="shared" si="36"/>
        <v>0</v>
      </c>
      <c r="L463" s="6">
        <f t="shared" si="37"/>
        <v>0</v>
      </c>
    </row>
    <row r="464" spans="1:12">
      <c r="A464">
        <f t="shared" si="38"/>
        <v>451</v>
      </c>
      <c r="B464" s="136">
        <f>IF(C$5=Data!D$3,'Step 2 Inflow Hydrograph'!H508,IF(C$5=Data!D$4,'Step 2 Inflow Hydrograph'!I508,IF(C$5=Data!D$5,'Step 2 Inflow Hydrograph'!J508,'Step 2 Inflow Hydrograph'!K508)))</f>
        <v>0</v>
      </c>
      <c r="C464" s="127"/>
      <c r="D464" s="6">
        <f t="shared" si="35"/>
        <v>0</v>
      </c>
      <c r="E464" s="6"/>
      <c r="F464" s="6">
        <f t="shared" si="39"/>
        <v>0</v>
      </c>
      <c r="G464" s="149">
        <f>INDEX('Step 4 Stage Discharge'!E$26:F$126,MATCH(F464,'Step 4 Stage Discharge'!E$26:E$126,1),2)+(INDEX('Step 4 Stage Discharge'!E$26:F$126,MATCH(F464,'Step 4 Stage Discharge'!E$26:E$126,1)+1,2)-INDEX('Step 4 Stage Discharge'!E$26:F$126,MATCH(F464,'Step 4 Stage Discharge'!E$26:E$126,1),2))*(F464-INDEX('Step 4 Stage Discharge'!E$26:F$126,MATCH(F464,'Step 4 Stage Discharge'!E$26:E$126,1),1))/(INDEX('Step 4 Stage Discharge'!E$26:F$126,MATCH(F464,'Step 4 Stage Discharge'!E$26:E$126,1)+1,1)-INDEX('Step 4 Stage Discharge'!E$26:F$126,MATCH(F464,'Step 4 Stage Discharge'!E$26:E$126,1),1))</f>
        <v>0</v>
      </c>
      <c r="H464" s="149"/>
      <c r="I464" s="149">
        <f>INDEX('Step 4 Stage Discharge'!E$26:M$126,MATCH(F464,'Step 4 Stage Discharge'!E$26:E$126,1),9)+(INDEX('Step 4 Stage Discharge'!E$26:M$126,MATCH('Step 5 Routing'!F464,'Step 4 Stage Discharge'!E$26:E$126,1)+1,9)-INDEX('Step 4 Stage Discharge'!E$26:M$126,MATCH('Step 5 Routing'!F464,'Step 4 Stage Discharge'!E$26:E$126,1),9))*('Step 5 Routing'!F464-INDEX('Step 4 Stage Discharge'!E$26:M$126,MATCH('Step 5 Routing'!F464,'Step 4 Stage Discharge'!E$26:E$126,1),1))/(INDEX('Step 4 Stage Discharge'!E$26:M$126,MATCH('Step 5 Routing'!F464,'Step 4 Stage Discharge'!E$26:E$126,1)+1,1)-INDEX('Step 4 Stage Discharge'!E$26:M$126,MATCH('Step 5 Routing'!F464,'Step 4 Stage Discharge'!E$26:E$126,1),1))</f>
        <v>4.3639431710317386E-3</v>
      </c>
      <c r="J464" s="149"/>
      <c r="K464" s="6">
        <f t="shared" si="36"/>
        <v>0</v>
      </c>
      <c r="L464" s="6">
        <f t="shared" si="37"/>
        <v>0</v>
      </c>
    </row>
    <row r="465" spans="1:12">
      <c r="A465">
        <f t="shared" si="38"/>
        <v>452</v>
      </c>
      <c r="B465" s="136">
        <f>IF(C$5=Data!D$3,'Step 2 Inflow Hydrograph'!H509,IF(C$5=Data!D$4,'Step 2 Inflow Hydrograph'!I509,IF(C$5=Data!D$5,'Step 2 Inflow Hydrograph'!J509,'Step 2 Inflow Hydrograph'!K509)))</f>
        <v>0</v>
      </c>
      <c r="C465" s="127"/>
      <c r="D465" s="6">
        <f t="shared" si="35"/>
        <v>0</v>
      </c>
      <c r="E465" s="6"/>
      <c r="F465" s="6">
        <f t="shared" si="39"/>
        <v>0</v>
      </c>
      <c r="G465" s="149">
        <f>INDEX('Step 4 Stage Discharge'!E$26:F$126,MATCH(F465,'Step 4 Stage Discharge'!E$26:E$126,1),2)+(INDEX('Step 4 Stage Discharge'!E$26:F$126,MATCH(F465,'Step 4 Stage Discharge'!E$26:E$126,1)+1,2)-INDEX('Step 4 Stage Discharge'!E$26:F$126,MATCH(F465,'Step 4 Stage Discharge'!E$26:E$126,1),2))*(F465-INDEX('Step 4 Stage Discharge'!E$26:F$126,MATCH(F465,'Step 4 Stage Discharge'!E$26:E$126,1),1))/(INDEX('Step 4 Stage Discharge'!E$26:F$126,MATCH(F465,'Step 4 Stage Discharge'!E$26:E$126,1)+1,1)-INDEX('Step 4 Stage Discharge'!E$26:F$126,MATCH(F465,'Step 4 Stage Discharge'!E$26:E$126,1),1))</f>
        <v>0</v>
      </c>
      <c r="H465" s="149"/>
      <c r="I465" s="149">
        <f>INDEX('Step 4 Stage Discharge'!E$26:M$126,MATCH(F465,'Step 4 Stage Discharge'!E$26:E$126,1),9)+(INDEX('Step 4 Stage Discharge'!E$26:M$126,MATCH('Step 5 Routing'!F465,'Step 4 Stage Discharge'!E$26:E$126,1)+1,9)-INDEX('Step 4 Stage Discharge'!E$26:M$126,MATCH('Step 5 Routing'!F465,'Step 4 Stage Discharge'!E$26:E$126,1),9))*('Step 5 Routing'!F465-INDEX('Step 4 Stage Discharge'!E$26:M$126,MATCH('Step 5 Routing'!F465,'Step 4 Stage Discharge'!E$26:E$126,1),1))/(INDEX('Step 4 Stage Discharge'!E$26:M$126,MATCH('Step 5 Routing'!F465,'Step 4 Stage Discharge'!E$26:E$126,1)+1,1)-INDEX('Step 4 Stage Discharge'!E$26:M$126,MATCH('Step 5 Routing'!F465,'Step 4 Stage Discharge'!E$26:E$126,1),1))</f>
        <v>4.3639431710317386E-3</v>
      </c>
      <c r="J465" s="149"/>
      <c r="K465" s="6">
        <f t="shared" si="36"/>
        <v>0</v>
      </c>
      <c r="L465" s="6">
        <f t="shared" si="37"/>
        <v>0</v>
      </c>
    </row>
    <row r="466" spans="1:12">
      <c r="A466">
        <f t="shared" si="38"/>
        <v>453</v>
      </c>
      <c r="B466" s="136">
        <f>IF(C$5=Data!D$3,'Step 2 Inflow Hydrograph'!H510,IF(C$5=Data!D$4,'Step 2 Inflow Hydrograph'!I510,IF(C$5=Data!D$5,'Step 2 Inflow Hydrograph'!J510,'Step 2 Inflow Hydrograph'!K510)))</f>
        <v>0</v>
      </c>
      <c r="C466" s="127"/>
      <c r="D466" s="6">
        <f t="shared" si="35"/>
        <v>0</v>
      </c>
      <c r="E466" s="6"/>
      <c r="F466" s="6">
        <f t="shared" si="39"/>
        <v>0</v>
      </c>
      <c r="G466" s="149">
        <f>INDEX('Step 4 Stage Discharge'!E$26:F$126,MATCH(F466,'Step 4 Stage Discharge'!E$26:E$126,1),2)+(INDEX('Step 4 Stage Discharge'!E$26:F$126,MATCH(F466,'Step 4 Stage Discharge'!E$26:E$126,1)+1,2)-INDEX('Step 4 Stage Discharge'!E$26:F$126,MATCH(F466,'Step 4 Stage Discharge'!E$26:E$126,1),2))*(F466-INDEX('Step 4 Stage Discharge'!E$26:F$126,MATCH(F466,'Step 4 Stage Discharge'!E$26:E$126,1),1))/(INDEX('Step 4 Stage Discharge'!E$26:F$126,MATCH(F466,'Step 4 Stage Discharge'!E$26:E$126,1)+1,1)-INDEX('Step 4 Stage Discharge'!E$26:F$126,MATCH(F466,'Step 4 Stage Discharge'!E$26:E$126,1),1))</f>
        <v>0</v>
      </c>
      <c r="H466" s="149"/>
      <c r="I466" s="149">
        <f>INDEX('Step 4 Stage Discharge'!E$26:M$126,MATCH(F466,'Step 4 Stage Discharge'!E$26:E$126,1),9)+(INDEX('Step 4 Stage Discharge'!E$26:M$126,MATCH('Step 5 Routing'!F466,'Step 4 Stage Discharge'!E$26:E$126,1)+1,9)-INDEX('Step 4 Stage Discharge'!E$26:M$126,MATCH('Step 5 Routing'!F466,'Step 4 Stage Discharge'!E$26:E$126,1),9))*('Step 5 Routing'!F466-INDEX('Step 4 Stage Discharge'!E$26:M$126,MATCH('Step 5 Routing'!F466,'Step 4 Stage Discharge'!E$26:E$126,1),1))/(INDEX('Step 4 Stage Discharge'!E$26:M$126,MATCH('Step 5 Routing'!F466,'Step 4 Stage Discharge'!E$26:E$126,1)+1,1)-INDEX('Step 4 Stage Discharge'!E$26:M$126,MATCH('Step 5 Routing'!F466,'Step 4 Stage Discharge'!E$26:E$126,1),1))</f>
        <v>4.3639431710317386E-3</v>
      </c>
      <c r="J466" s="149"/>
      <c r="K466" s="6">
        <f t="shared" si="36"/>
        <v>0</v>
      </c>
      <c r="L466" s="6">
        <f t="shared" si="37"/>
        <v>0</v>
      </c>
    </row>
    <row r="467" spans="1:12">
      <c r="A467">
        <f t="shared" si="38"/>
        <v>454</v>
      </c>
      <c r="B467" s="136">
        <f>IF(C$5=Data!D$3,'Step 2 Inflow Hydrograph'!H511,IF(C$5=Data!D$4,'Step 2 Inflow Hydrograph'!I511,IF(C$5=Data!D$5,'Step 2 Inflow Hydrograph'!J511,'Step 2 Inflow Hydrograph'!K511)))</f>
        <v>0</v>
      </c>
      <c r="C467" s="127"/>
      <c r="D467" s="6">
        <f t="shared" si="35"/>
        <v>0</v>
      </c>
      <c r="E467" s="6"/>
      <c r="F467" s="6">
        <f t="shared" si="39"/>
        <v>0</v>
      </c>
      <c r="G467" s="149">
        <f>INDEX('Step 4 Stage Discharge'!E$26:F$126,MATCH(F467,'Step 4 Stage Discharge'!E$26:E$126,1),2)+(INDEX('Step 4 Stage Discharge'!E$26:F$126,MATCH(F467,'Step 4 Stage Discharge'!E$26:E$126,1)+1,2)-INDEX('Step 4 Stage Discharge'!E$26:F$126,MATCH(F467,'Step 4 Stage Discharge'!E$26:E$126,1),2))*(F467-INDEX('Step 4 Stage Discharge'!E$26:F$126,MATCH(F467,'Step 4 Stage Discharge'!E$26:E$126,1),1))/(INDEX('Step 4 Stage Discharge'!E$26:F$126,MATCH(F467,'Step 4 Stage Discharge'!E$26:E$126,1)+1,1)-INDEX('Step 4 Stage Discharge'!E$26:F$126,MATCH(F467,'Step 4 Stage Discharge'!E$26:E$126,1),1))</f>
        <v>0</v>
      </c>
      <c r="H467" s="149"/>
      <c r="I467" s="149">
        <f>INDEX('Step 4 Stage Discharge'!E$26:M$126,MATCH(F467,'Step 4 Stage Discharge'!E$26:E$126,1),9)+(INDEX('Step 4 Stage Discharge'!E$26:M$126,MATCH('Step 5 Routing'!F467,'Step 4 Stage Discharge'!E$26:E$126,1)+1,9)-INDEX('Step 4 Stage Discharge'!E$26:M$126,MATCH('Step 5 Routing'!F467,'Step 4 Stage Discharge'!E$26:E$126,1),9))*('Step 5 Routing'!F467-INDEX('Step 4 Stage Discharge'!E$26:M$126,MATCH('Step 5 Routing'!F467,'Step 4 Stage Discharge'!E$26:E$126,1),1))/(INDEX('Step 4 Stage Discharge'!E$26:M$126,MATCH('Step 5 Routing'!F467,'Step 4 Stage Discharge'!E$26:E$126,1)+1,1)-INDEX('Step 4 Stage Discharge'!E$26:M$126,MATCH('Step 5 Routing'!F467,'Step 4 Stage Discharge'!E$26:E$126,1),1))</f>
        <v>4.3639431710317386E-3</v>
      </c>
      <c r="J467" s="149"/>
      <c r="K467" s="6">
        <f t="shared" si="36"/>
        <v>0</v>
      </c>
      <c r="L467" s="6">
        <f t="shared" si="37"/>
        <v>0</v>
      </c>
    </row>
    <row r="468" spans="1:12">
      <c r="A468">
        <f t="shared" si="38"/>
        <v>455</v>
      </c>
      <c r="B468" s="136">
        <f>IF(C$5=Data!D$3,'Step 2 Inflow Hydrograph'!H512,IF(C$5=Data!D$4,'Step 2 Inflow Hydrograph'!I512,IF(C$5=Data!D$5,'Step 2 Inflow Hydrograph'!J512,'Step 2 Inflow Hydrograph'!K512)))</f>
        <v>0</v>
      </c>
      <c r="C468" s="127"/>
      <c r="D468" s="6">
        <f t="shared" si="35"/>
        <v>0</v>
      </c>
      <c r="E468" s="6"/>
      <c r="F468" s="6">
        <f t="shared" si="39"/>
        <v>0</v>
      </c>
      <c r="G468" s="149">
        <f>INDEX('Step 4 Stage Discharge'!E$26:F$126,MATCH(F468,'Step 4 Stage Discharge'!E$26:E$126,1),2)+(INDEX('Step 4 Stage Discharge'!E$26:F$126,MATCH(F468,'Step 4 Stage Discharge'!E$26:E$126,1)+1,2)-INDEX('Step 4 Stage Discharge'!E$26:F$126,MATCH(F468,'Step 4 Stage Discharge'!E$26:E$126,1),2))*(F468-INDEX('Step 4 Stage Discharge'!E$26:F$126,MATCH(F468,'Step 4 Stage Discharge'!E$26:E$126,1),1))/(INDEX('Step 4 Stage Discharge'!E$26:F$126,MATCH(F468,'Step 4 Stage Discharge'!E$26:E$126,1)+1,1)-INDEX('Step 4 Stage Discharge'!E$26:F$126,MATCH(F468,'Step 4 Stage Discharge'!E$26:E$126,1),1))</f>
        <v>0</v>
      </c>
      <c r="H468" s="149"/>
      <c r="I468" s="149">
        <f>INDEX('Step 4 Stage Discharge'!E$26:M$126,MATCH(F468,'Step 4 Stage Discharge'!E$26:E$126,1),9)+(INDEX('Step 4 Stage Discharge'!E$26:M$126,MATCH('Step 5 Routing'!F468,'Step 4 Stage Discharge'!E$26:E$126,1)+1,9)-INDEX('Step 4 Stage Discharge'!E$26:M$126,MATCH('Step 5 Routing'!F468,'Step 4 Stage Discharge'!E$26:E$126,1),9))*('Step 5 Routing'!F468-INDEX('Step 4 Stage Discharge'!E$26:M$126,MATCH('Step 5 Routing'!F468,'Step 4 Stage Discharge'!E$26:E$126,1),1))/(INDEX('Step 4 Stage Discharge'!E$26:M$126,MATCH('Step 5 Routing'!F468,'Step 4 Stage Discharge'!E$26:E$126,1)+1,1)-INDEX('Step 4 Stage Discharge'!E$26:M$126,MATCH('Step 5 Routing'!F468,'Step 4 Stage Discharge'!E$26:E$126,1),1))</f>
        <v>4.3639431710317386E-3</v>
      </c>
      <c r="J468" s="149"/>
      <c r="K468" s="6">
        <f t="shared" si="36"/>
        <v>0</v>
      </c>
      <c r="L468" s="6">
        <f t="shared" si="37"/>
        <v>0</v>
      </c>
    </row>
    <row r="469" spans="1:12">
      <c r="A469">
        <f t="shared" si="38"/>
        <v>456</v>
      </c>
      <c r="B469" s="136">
        <f>IF(C$5=Data!D$3,'Step 2 Inflow Hydrograph'!H513,IF(C$5=Data!D$4,'Step 2 Inflow Hydrograph'!I513,IF(C$5=Data!D$5,'Step 2 Inflow Hydrograph'!J513,'Step 2 Inflow Hydrograph'!K513)))</f>
        <v>0</v>
      </c>
      <c r="C469" s="127"/>
      <c r="D469" s="6">
        <f t="shared" si="35"/>
        <v>0</v>
      </c>
      <c r="E469" s="6"/>
      <c r="F469" s="6">
        <f t="shared" si="39"/>
        <v>0</v>
      </c>
      <c r="G469" s="149">
        <f>INDEX('Step 4 Stage Discharge'!E$26:F$126,MATCH(F469,'Step 4 Stage Discharge'!E$26:E$126,1),2)+(INDEX('Step 4 Stage Discharge'!E$26:F$126,MATCH(F469,'Step 4 Stage Discharge'!E$26:E$126,1)+1,2)-INDEX('Step 4 Stage Discharge'!E$26:F$126,MATCH(F469,'Step 4 Stage Discharge'!E$26:E$126,1),2))*(F469-INDEX('Step 4 Stage Discharge'!E$26:F$126,MATCH(F469,'Step 4 Stage Discharge'!E$26:E$126,1),1))/(INDEX('Step 4 Stage Discharge'!E$26:F$126,MATCH(F469,'Step 4 Stage Discharge'!E$26:E$126,1)+1,1)-INDEX('Step 4 Stage Discharge'!E$26:F$126,MATCH(F469,'Step 4 Stage Discharge'!E$26:E$126,1),1))</f>
        <v>0</v>
      </c>
      <c r="H469" s="149"/>
      <c r="I469" s="149">
        <f>INDEX('Step 4 Stage Discharge'!E$26:M$126,MATCH(F469,'Step 4 Stage Discharge'!E$26:E$126,1),9)+(INDEX('Step 4 Stage Discharge'!E$26:M$126,MATCH('Step 5 Routing'!F469,'Step 4 Stage Discharge'!E$26:E$126,1)+1,9)-INDEX('Step 4 Stage Discharge'!E$26:M$126,MATCH('Step 5 Routing'!F469,'Step 4 Stage Discharge'!E$26:E$126,1),9))*('Step 5 Routing'!F469-INDEX('Step 4 Stage Discharge'!E$26:M$126,MATCH('Step 5 Routing'!F469,'Step 4 Stage Discharge'!E$26:E$126,1),1))/(INDEX('Step 4 Stage Discharge'!E$26:M$126,MATCH('Step 5 Routing'!F469,'Step 4 Stage Discharge'!E$26:E$126,1)+1,1)-INDEX('Step 4 Stage Discharge'!E$26:M$126,MATCH('Step 5 Routing'!F469,'Step 4 Stage Discharge'!E$26:E$126,1),1))</f>
        <v>4.3639431710317386E-3</v>
      </c>
      <c r="J469" s="149"/>
      <c r="K469" s="6">
        <f t="shared" si="36"/>
        <v>0</v>
      </c>
      <c r="L469" s="6">
        <f t="shared" si="37"/>
        <v>0</v>
      </c>
    </row>
    <row r="470" spans="1:12">
      <c r="A470">
        <f t="shared" si="38"/>
        <v>457</v>
      </c>
      <c r="B470" s="136">
        <f>IF(C$5=Data!D$3,'Step 2 Inflow Hydrograph'!H514,IF(C$5=Data!D$4,'Step 2 Inflow Hydrograph'!I514,IF(C$5=Data!D$5,'Step 2 Inflow Hydrograph'!J514,'Step 2 Inflow Hydrograph'!K514)))</f>
        <v>0</v>
      </c>
      <c r="C470" s="127"/>
      <c r="D470" s="6">
        <f t="shared" si="35"/>
        <v>0</v>
      </c>
      <c r="E470" s="6"/>
      <c r="F470" s="6">
        <f t="shared" si="39"/>
        <v>0</v>
      </c>
      <c r="G470" s="149">
        <f>INDEX('Step 4 Stage Discharge'!E$26:F$126,MATCH(F470,'Step 4 Stage Discharge'!E$26:E$126,1),2)+(INDEX('Step 4 Stage Discharge'!E$26:F$126,MATCH(F470,'Step 4 Stage Discharge'!E$26:E$126,1)+1,2)-INDEX('Step 4 Stage Discharge'!E$26:F$126,MATCH(F470,'Step 4 Stage Discharge'!E$26:E$126,1),2))*(F470-INDEX('Step 4 Stage Discharge'!E$26:F$126,MATCH(F470,'Step 4 Stage Discharge'!E$26:E$126,1),1))/(INDEX('Step 4 Stage Discharge'!E$26:F$126,MATCH(F470,'Step 4 Stage Discharge'!E$26:E$126,1)+1,1)-INDEX('Step 4 Stage Discharge'!E$26:F$126,MATCH(F470,'Step 4 Stage Discharge'!E$26:E$126,1),1))</f>
        <v>0</v>
      </c>
      <c r="H470" s="149"/>
      <c r="I470" s="149">
        <f>INDEX('Step 4 Stage Discharge'!E$26:M$126,MATCH(F470,'Step 4 Stage Discharge'!E$26:E$126,1),9)+(INDEX('Step 4 Stage Discharge'!E$26:M$126,MATCH('Step 5 Routing'!F470,'Step 4 Stage Discharge'!E$26:E$126,1)+1,9)-INDEX('Step 4 Stage Discharge'!E$26:M$126,MATCH('Step 5 Routing'!F470,'Step 4 Stage Discharge'!E$26:E$126,1),9))*('Step 5 Routing'!F470-INDEX('Step 4 Stage Discharge'!E$26:M$126,MATCH('Step 5 Routing'!F470,'Step 4 Stage Discharge'!E$26:E$126,1),1))/(INDEX('Step 4 Stage Discharge'!E$26:M$126,MATCH('Step 5 Routing'!F470,'Step 4 Stage Discharge'!E$26:E$126,1)+1,1)-INDEX('Step 4 Stage Discharge'!E$26:M$126,MATCH('Step 5 Routing'!F470,'Step 4 Stage Discharge'!E$26:E$126,1),1))</f>
        <v>4.3639431710317386E-3</v>
      </c>
      <c r="J470" s="149"/>
      <c r="K470" s="6">
        <f t="shared" si="36"/>
        <v>0</v>
      </c>
      <c r="L470" s="6">
        <f t="shared" si="37"/>
        <v>0</v>
      </c>
    </row>
    <row r="471" spans="1:12">
      <c r="A471">
        <f t="shared" si="38"/>
        <v>458</v>
      </c>
      <c r="B471" s="136">
        <f>IF(C$5=Data!D$3,'Step 2 Inflow Hydrograph'!H515,IF(C$5=Data!D$4,'Step 2 Inflow Hydrograph'!I515,IF(C$5=Data!D$5,'Step 2 Inflow Hydrograph'!J515,'Step 2 Inflow Hydrograph'!K515)))</f>
        <v>0</v>
      </c>
      <c r="C471" s="127"/>
      <c r="D471" s="6">
        <f t="shared" si="35"/>
        <v>0</v>
      </c>
      <c r="E471" s="6"/>
      <c r="F471" s="6">
        <f t="shared" si="39"/>
        <v>0</v>
      </c>
      <c r="G471" s="149">
        <f>INDEX('Step 4 Stage Discharge'!E$26:F$126,MATCH(F471,'Step 4 Stage Discharge'!E$26:E$126,1),2)+(INDEX('Step 4 Stage Discharge'!E$26:F$126,MATCH(F471,'Step 4 Stage Discharge'!E$26:E$126,1)+1,2)-INDEX('Step 4 Stage Discharge'!E$26:F$126,MATCH(F471,'Step 4 Stage Discharge'!E$26:E$126,1),2))*(F471-INDEX('Step 4 Stage Discharge'!E$26:F$126,MATCH(F471,'Step 4 Stage Discharge'!E$26:E$126,1),1))/(INDEX('Step 4 Stage Discharge'!E$26:F$126,MATCH(F471,'Step 4 Stage Discharge'!E$26:E$126,1)+1,1)-INDEX('Step 4 Stage Discharge'!E$26:F$126,MATCH(F471,'Step 4 Stage Discharge'!E$26:E$126,1),1))</f>
        <v>0</v>
      </c>
      <c r="H471" s="149"/>
      <c r="I471" s="149">
        <f>INDEX('Step 4 Stage Discharge'!E$26:M$126,MATCH(F471,'Step 4 Stage Discharge'!E$26:E$126,1),9)+(INDEX('Step 4 Stage Discharge'!E$26:M$126,MATCH('Step 5 Routing'!F471,'Step 4 Stage Discharge'!E$26:E$126,1)+1,9)-INDEX('Step 4 Stage Discharge'!E$26:M$126,MATCH('Step 5 Routing'!F471,'Step 4 Stage Discharge'!E$26:E$126,1),9))*('Step 5 Routing'!F471-INDEX('Step 4 Stage Discharge'!E$26:M$126,MATCH('Step 5 Routing'!F471,'Step 4 Stage Discharge'!E$26:E$126,1),1))/(INDEX('Step 4 Stage Discharge'!E$26:M$126,MATCH('Step 5 Routing'!F471,'Step 4 Stage Discharge'!E$26:E$126,1)+1,1)-INDEX('Step 4 Stage Discharge'!E$26:M$126,MATCH('Step 5 Routing'!F471,'Step 4 Stage Discharge'!E$26:E$126,1),1))</f>
        <v>4.3639431710317386E-3</v>
      </c>
      <c r="J471" s="149"/>
      <c r="K471" s="6">
        <f t="shared" si="36"/>
        <v>0</v>
      </c>
      <c r="L471" s="6">
        <f t="shared" si="37"/>
        <v>0</v>
      </c>
    </row>
    <row r="472" spans="1:12">
      <c r="A472">
        <f t="shared" si="38"/>
        <v>459</v>
      </c>
      <c r="B472" s="136">
        <f>IF(C$5=Data!D$3,'Step 2 Inflow Hydrograph'!H516,IF(C$5=Data!D$4,'Step 2 Inflow Hydrograph'!I516,IF(C$5=Data!D$5,'Step 2 Inflow Hydrograph'!J516,'Step 2 Inflow Hydrograph'!K516)))</f>
        <v>0</v>
      </c>
      <c r="C472" s="127"/>
      <c r="D472" s="6">
        <f t="shared" si="35"/>
        <v>0</v>
      </c>
      <c r="E472" s="6"/>
      <c r="F472" s="6">
        <f t="shared" si="39"/>
        <v>0</v>
      </c>
      <c r="G472" s="149">
        <f>INDEX('Step 4 Stage Discharge'!E$26:F$126,MATCH(F472,'Step 4 Stage Discharge'!E$26:E$126,1),2)+(INDEX('Step 4 Stage Discharge'!E$26:F$126,MATCH(F472,'Step 4 Stage Discharge'!E$26:E$126,1)+1,2)-INDEX('Step 4 Stage Discharge'!E$26:F$126,MATCH(F472,'Step 4 Stage Discharge'!E$26:E$126,1),2))*(F472-INDEX('Step 4 Stage Discharge'!E$26:F$126,MATCH(F472,'Step 4 Stage Discharge'!E$26:E$126,1),1))/(INDEX('Step 4 Stage Discharge'!E$26:F$126,MATCH(F472,'Step 4 Stage Discharge'!E$26:E$126,1)+1,1)-INDEX('Step 4 Stage Discharge'!E$26:F$126,MATCH(F472,'Step 4 Stage Discharge'!E$26:E$126,1),1))</f>
        <v>0</v>
      </c>
      <c r="H472" s="149"/>
      <c r="I472" s="149">
        <f>INDEX('Step 4 Stage Discharge'!E$26:M$126,MATCH(F472,'Step 4 Stage Discharge'!E$26:E$126,1),9)+(INDEX('Step 4 Stage Discharge'!E$26:M$126,MATCH('Step 5 Routing'!F472,'Step 4 Stage Discharge'!E$26:E$126,1)+1,9)-INDEX('Step 4 Stage Discharge'!E$26:M$126,MATCH('Step 5 Routing'!F472,'Step 4 Stage Discharge'!E$26:E$126,1),9))*('Step 5 Routing'!F472-INDEX('Step 4 Stage Discharge'!E$26:M$126,MATCH('Step 5 Routing'!F472,'Step 4 Stage Discharge'!E$26:E$126,1),1))/(INDEX('Step 4 Stage Discharge'!E$26:M$126,MATCH('Step 5 Routing'!F472,'Step 4 Stage Discharge'!E$26:E$126,1)+1,1)-INDEX('Step 4 Stage Discharge'!E$26:M$126,MATCH('Step 5 Routing'!F472,'Step 4 Stage Discharge'!E$26:E$126,1),1))</f>
        <v>4.3639431710317386E-3</v>
      </c>
      <c r="J472" s="149"/>
      <c r="K472" s="6">
        <f t="shared" si="36"/>
        <v>0</v>
      </c>
      <c r="L472" s="6">
        <f t="shared" si="37"/>
        <v>0</v>
      </c>
    </row>
    <row r="473" spans="1:12">
      <c r="A473">
        <f t="shared" si="38"/>
        <v>460</v>
      </c>
      <c r="B473" s="136">
        <f>IF(C$5=Data!D$3,'Step 2 Inflow Hydrograph'!H517,IF(C$5=Data!D$4,'Step 2 Inflow Hydrograph'!I517,IF(C$5=Data!D$5,'Step 2 Inflow Hydrograph'!J517,'Step 2 Inflow Hydrograph'!K517)))</f>
        <v>0</v>
      </c>
      <c r="C473" s="127"/>
      <c r="D473" s="6">
        <f t="shared" si="35"/>
        <v>0</v>
      </c>
      <c r="E473" s="6"/>
      <c r="F473" s="6">
        <f t="shared" si="39"/>
        <v>0</v>
      </c>
      <c r="G473" s="149">
        <f>INDEX('Step 4 Stage Discharge'!E$26:F$126,MATCH(F473,'Step 4 Stage Discharge'!E$26:E$126,1),2)+(INDEX('Step 4 Stage Discharge'!E$26:F$126,MATCH(F473,'Step 4 Stage Discharge'!E$26:E$126,1)+1,2)-INDEX('Step 4 Stage Discharge'!E$26:F$126,MATCH(F473,'Step 4 Stage Discharge'!E$26:E$126,1),2))*(F473-INDEX('Step 4 Stage Discharge'!E$26:F$126,MATCH(F473,'Step 4 Stage Discharge'!E$26:E$126,1),1))/(INDEX('Step 4 Stage Discharge'!E$26:F$126,MATCH(F473,'Step 4 Stage Discharge'!E$26:E$126,1)+1,1)-INDEX('Step 4 Stage Discharge'!E$26:F$126,MATCH(F473,'Step 4 Stage Discharge'!E$26:E$126,1),1))</f>
        <v>0</v>
      </c>
      <c r="H473" s="149"/>
      <c r="I473" s="149">
        <f>INDEX('Step 4 Stage Discharge'!E$26:M$126,MATCH(F473,'Step 4 Stage Discharge'!E$26:E$126,1),9)+(INDEX('Step 4 Stage Discharge'!E$26:M$126,MATCH('Step 5 Routing'!F473,'Step 4 Stage Discharge'!E$26:E$126,1)+1,9)-INDEX('Step 4 Stage Discharge'!E$26:M$126,MATCH('Step 5 Routing'!F473,'Step 4 Stage Discharge'!E$26:E$126,1),9))*('Step 5 Routing'!F473-INDEX('Step 4 Stage Discharge'!E$26:M$126,MATCH('Step 5 Routing'!F473,'Step 4 Stage Discharge'!E$26:E$126,1),1))/(INDEX('Step 4 Stage Discharge'!E$26:M$126,MATCH('Step 5 Routing'!F473,'Step 4 Stage Discharge'!E$26:E$126,1)+1,1)-INDEX('Step 4 Stage Discharge'!E$26:M$126,MATCH('Step 5 Routing'!F473,'Step 4 Stage Discharge'!E$26:E$126,1),1))</f>
        <v>4.3639431710317386E-3</v>
      </c>
      <c r="J473" s="149"/>
      <c r="K473" s="6">
        <f t="shared" si="36"/>
        <v>0</v>
      </c>
      <c r="L473" s="6">
        <f t="shared" si="37"/>
        <v>0</v>
      </c>
    </row>
    <row r="474" spans="1:12">
      <c r="A474">
        <f t="shared" si="38"/>
        <v>461</v>
      </c>
      <c r="B474" s="136">
        <f>IF(C$5=Data!D$3,'Step 2 Inflow Hydrograph'!H518,IF(C$5=Data!D$4,'Step 2 Inflow Hydrograph'!I518,IF(C$5=Data!D$5,'Step 2 Inflow Hydrograph'!J518,'Step 2 Inflow Hydrograph'!K518)))</f>
        <v>0</v>
      </c>
      <c r="C474" s="127"/>
      <c r="D474" s="6">
        <f t="shared" si="35"/>
        <v>0</v>
      </c>
      <c r="E474" s="6"/>
      <c r="F474" s="6">
        <f t="shared" si="39"/>
        <v>0</v>
      </c>
      <c r="G474" s="149">
        <f>INDEX('Step 4 Stage Discharge'!E$26:F$126,MATCH(F474,'Step 4 Stage Discharge'!E$26:E$126,1),2)+(INDEX('Step 4 Stage Discharge'!E$26:F$126,MATCH(F474,'Step 4 Stage Discharge'!E$26:E$126,1)+1,2)-INDEX('Step 4 Stage Discharge'!E$26:F$126,MATCH(F474,'Step 4 Stage Discharge'!E$26:E$126,1),2))*(F474-INDEX('Step 4 Stage Discharge'!E$26:F$126,MATCH(F474,'Step 4 Stage Discharge'!E$26:E$126,1),1))/(INDEX('Step 4 Stage Discharge'!E$26:F$126,MATCH(F474,'Step 4 Stage Discharge'!E$26:E$126,1)+1,1)-INDEX('Step 4 Stage Discharge'!E$26:F$126,MATCH(F474,'Step 4 Stage Discharge'!E$26:E$126,1),1))</f>
        <v>0</v>
      </c>
      <c r="H474" s="149"/>
      <c r="I474" s="149">
        <f>INDEX('Step 4 Stage Discharge'!E$26:M$126,MATCH(F474,'Step 4 Stage Discharge'!E$26:E$126,1),9)+(INDEX('Step 4 Stage Discharge'!E$26:M$126,MATCH('Step 5 Routing'!F474,'Step 4 Stage Discharge'!E$26:E$126,1)+1,9)-INDEX('Step 4 Stage Discharge'!E$26:M$126,MATCH('Step 5 Routing'!F474,'Step 4 Stage Discharge'!E$26:E$126,1),9))*('Step 5 Routing'!F474-INDEX('Step 4 Stage Discharge'!E$26:M$126,MATCH('Step 5 Routing'!F474,'Step 4 Stage Discharge'!E$26:E$126,1),1))/(INDEX('Step 4 Stage Discharge'!E$26:M$126,MATCH('Step 5 Routing'!F474,'Step 4 Stage Discharge'!E$26:E$126,1)+1,1)-INDEX('Step 4 Stage Discharge'!E$26:M$126,MATCH('Step 5 Routing'!F474,'Step 4 Stage Discharge'!E$26:E$126,1),1))</f>
        <v>4.3639431710317386E-3</v>
      </c>
      <c r="J474" s="149"/>
      <c r="K474" s="6">
        <f t="shared" si="36"/>
        <v>0</v>
      </c>
      <c r="L474" s="6">
        <f t="shared" si="37"/>
        <v>0</v>
      </c>
    </row>
    <row r="475" spans="1:12">
      <c r="A475">
        <f t="shared" si="38"/>
        <v>462</v>
      </c>
      <c r="B475" s="136">
        <f>IF(C$5=Data!D$3,'Step 2 Inflow Hydrograph'!H519,IF(C$5=Data!D$4,'Step 2 Inflow Hydrograph'!I519,IF(C$5=Data!D$5,'Step 2 Inflow Hydrograph'!J519,'Step 2 Inflow Hydrograph'!K519)))</f>
        <v>0</v>
      </c>
      <c r="C475" s="127"/>
      <c r="D475" s="6">
        <f t="shared" si="35"/>
        <v>0</v>
      </c>
      <c r="E475" s="6"/>
      <c r="F475" s="6">
        <f t="shared" si="39"/>
        <v>0</v>
      </c>
      <c r="G475" s="149">
        <f>INDEX('Step 4 Stage Discharge'!E$26:F$126,MATCH(F475,'Step 4 Stage Discharge'!E$26:E$126,1),2)+(INDEX('Step 4 Stage Discharge'!E$26:F$126,MATCH(F475,'Step 4 Stage Discharge'!E$26:E$126,1)+1,2)-INDEX('Step 4 Stage Discharge'!E$26:F$126,MATCH(F475,'Step 4 Stage Discharge'!E$26:E$126,1),2))*(F475-INDEX('Step 4 Stage Discharge'!E$26:F$126,MATCH(F475,'Step 4 Stage Discharge'!E$26:E$126,1),1))/(INDEX('Step 4 Stage Discharge'!E$26:F$126,MATCH(F475,'Step 4 Stage Discharge'!E$26:E$126,1)+1,1)-INDEX('Step 4 Stage Discharge'!E$26:F$126,MATCH(F475,'Step 4 Stage Discharge'!E$26:E$126,1),1))</f>
        <v>0</v>
      </c>
      <c r="H475" s="149"/>
      <c r="I475" s="149">
        <f>INDEX('Step 4 Stage Discharge'!E$26:M$126,MATCH(F475,'Step 4 Stage Discharge'!E$26:E$126,1),9)+(INDEX('Step 4 Stage Discharge'!E$26:M$126,MATCH('Step 5 Routing'!F475,'Step 4 Stage Discharge'!E$26:E$126,1)+1,9)-INDEX('Step 4 Stage Discharge'!E$26:M$126,MATCH('Step 5 Routing'!F475,'Step 4 Stage Discharge'!E$26:E$126,1),9))*('Step 5 Routing'!F475-INDEX('Step 4 Stage Discharge'!E$26:M$126,MATCH('Step 5 Routing'!F475,'Step 4 Stage Discharge'!E$26:E$126,1),1))/(INDEX('Step 4 Stage Discharge'!E$26:M$126,MATCH('Step 5 Routing'!F475,'Step 4 Stage Discharge'!E$26:E$126,1)+1,1)-INDEX('Step 4 Stage Discharge'!E$26:M$126,MATCH('Step 5 Routing'!F475,'Step 4 Stage Discharge'!E$26:E$126,1),1))</f>
        <v>4.3639431710317386E-3</v>
      </c>
      <c r="J475" s="149"/>
      <c r="K475" s="6">
        <f t="shared" si="36"/>
        <v>0</v>
      </c>
      <c r="L475" s="6">
        <f t="shared" si="37"/>
        <v>0</v>
      </c>
    </row>
    <row r="476" spans="1:12">
      <c r="A476">
        <f t="shared" si="38"/>
        <v>463</v>
      </c>
      <c r="B476" s="136">
        <f>IF(C$5=Data!D$3,'Step 2 Inflow Hydrograph'!H520,IF(C$5=Data!D$4,'Step 2 Inflow Hydrograph'!I520,IF(C$5=Data!D$5,'Step 2 Inflow Hydrograph'!J520,'Step 2 Inflow Hydrograph'!K520)))</f>
        <v>0</v>
      </c>
      <c r="C476" s="127"/>
      <c r="D476" s="6">
        <f t="shared" si="35"/>
        <v>0</v>
      </c>
      <c r="E476" s="6"/>
      <c r="F476" s="6">
        <f t="shared" si="39"/>
        <v>0</v>
      </c>
      <c r="G476" s="149">
        <f>INDEX('Step 4 Stage Discharge'!E$26:F$126,MATCH(F476,'Step 4 Stage Discharge'!E$26:E$126,1),2)+(INDEX('Step 4 Stage Discharge'!E$26:F$126,MATCH(F476,'Step 4 Stage Discharge'!E$26:E$126,1)+1,2)-INDEX('Step 4 Stage Discharge'!E$26:F$126,MATCH(F476,'Step 4 Stage Discharge'!E$26:E$126,1),2))*(F476-INDEX('Step 4 Stage Discharge'!E$26:F$126,MATCH(F476,'Step 4 Stage Discharge'!E$26:E$126,1),1))/(INDEX('Step 4 Stage Discharge'!E$26:F$126,MATCH(F476,'Step 4 Stage Discharge'!E$26:E$126,1)+1,1)-INDEX('Step 4 Stage Discharge'!E$26:F$126,MATCH(F476,'Step 4 Stage Discharge'!E$26:E$126,1),1))</f>
        <v>0</v>
      </c>
      <c r="H476" s="149"/>
      <c r="I476" s="149">
        <f>INDEX('Step 4 Stage Discharge'!E$26:M$126,MATCH(F476,'Step 4 Stage Discharge'!E$26:E$126,1),9)+(INDEX('Step 4 Stage Discharge'!E$26:M$126,MATCH('Step 5 Routing'!F476,'Step 4 Stage Discharge'!E$26:E$126,1)+1,9)-INDEX('Step 4 Stage Discharge'!E$26:M$126,MATCH('Step 5 Routing'!F476,'Step 4 Stage Discharge'!E$26:E$126,1),9))*('Step 5 Routing'!F476-INDEX('Step 4 Stage Discharge'!E$26:M$126,MATCH('Step 5 Routing'!F476,'Step 4 Stage Discharge'!E$26:E$126,1),1))/(INDEX('Step 4 Stage Discharge'!E$26:M$126,MATCH('Step 5 Routing'!F476,'Step 4 Stage Discharge'!E$26:E$126,1)+1,1)-INDEX('Step 4 Stage Discharge'!E$26:M$126,MATCH('Step 5 Routing'!F476,'Step 4 Stage Discharge'!E$26:E$126,1),1))</f>
        <v>4.3639431710317386E-3</v>
      </c>
      <c r="J476" s="149"/>
      <c r="K476" s="6">
        <f t="shared" si="36"/>
        <v>0</v>
      </c>
      <c r="L476" s="6">
        <f t="shared" si="37"/>
        <v>0</v>
      </c>
    </row>
    <row r="477" spans="1:12">
      <c r="A477">
        <f t="shared" si="38"/>
        <v>464</v>
      </c>
      <c r="B477" s="136">
        <f>IF(C$5=Data!D$3,'Step 2 Inflow Hydrograph'!H521,IF(C$5=Data!D$4,'Step 2 Inflow Hydrograph'!I521,IF(C$5=Data!D$5,'Step 2 Inflow Hydrograph'!J521,'Step 2 Inflow Hydrograph'!K521)))</f>
        <v>0</v>
      </c>
      <c r="C477" s="127"/>
      <c r="D477" s="6">
        <f t="shared" si="35"/>
        <v>0</v>
      </c>
      <c r="E477" s="6"/>
      <c r="F477" s="6">
        <f t="shared" si="39"/>
        <v>0</v>
      </c>
      <c r="G477" s="149">
        <f>INDEX('Step 4 Stage Discharge'!E$26:F$126,MATCH(F477,'Step 4 Stage Discharge'!E$26:E$126,1),2)+(INDEX('Step 4 Stage Discharge'!E$26:F$126,MATCH(F477,'Step 4 Stage Discharge'!E$26:E$126,1)+1,2)-INDEX('Step 4 Stage Discharge'!E$26:F$126,MATCH(F477,'Step 4 Stage Discharge'!E$26:E$126,1),2))*(F477-INDEX('Step 4 Stage Discharge'!E$26:F$126,MATCH(F477,'Step 4 Stage Discharge'!E$26:E$126,1),1))/(INDEX('Step 4 Stage Discharge'!E$26:F$126,MATCH(F477,'Step 4 Stage Discharge'!E$26:E$126,1)+1,1)-INDEX('Step 4 Stage Discharge'!E$26:F$126,MATCH(F477,'Step 4 Stage Discharge'!E$26:E$126,1),1))</f>
        <v>0</v>
      </c>
      <c r="H477" s="149"/>
      <c r="I477" s="149">
        <f>INDEX('Step 4 Stage Discharge'!E$26:M$126,MATCH(F477,'Step 4 Stage Discharge'!E$26:E$126,1),9)+(INDEX('Step 4 Stage Discharge'!E$26:M$126,MATCH('Step 5 Routing'!F477,'Step 4 Stage Discharge'!E$26:E$126,1)+1,9)-INDEX('Step 4 Stage Discharge'!E$26:M$126,MATCH('Step 5 Routing'!F477,'Step 4 Stage Discharge'!E$26:E$126,1),9))*('Step 5 Routing'!F477-INDEX('Step 4 Stage Discharge'!E$26:M$126,MATCH('Step 5 Routing'!F477,'Step 4 Stage Discharge'!E$26:E$126,1),1))/(INDEX('Step 4 Stage Discharge'!E$26:M$126,MATCH('Step 5 Routing'!F477,'Step 4 Stage Discharge'!E$26:E$126,1)+1,1)-INDEX('Step 4 Stage Discharge'!E$26:M$126,MATCH('Step 5 Routing'!F477,'Step 4 Stage Discharge'!E$26:E$126,1),1))</f>
        <v>4.3639431710317386E-3</v>
      </c>
      <c r="J477" s="149"/>
      <c r="K477" s="6">
        <f t="shared" si="36"/>
        <v>0</v>
      </c>
      <c r="L477" s="6">
        <f t="shared" si="37"/>
        <v>0</v>
      </c>
    </row>
    <row r="478" spans="1:12">
      <c r="A478">
        <f t="shared" si="38"/>
        <v>465</v>
      </c>
      <c r="B478" s="136">
        <f>IF(C$5=Data!D$3,'Step 2 Inflow Hydrograph'!H522,IF(C$5=Data!D$4,'Step 2 Inflow Hydrograph'!I522,IF(C$5=Data!D$5,'Step 2 Inflow Hydrograph'!J522,'Step 2 Inflow Hydrograph'!K522)))</f>
        <v>0</v>
      </c>
      <c r="C478" s="127"/>
      <c r="D478" s="6">
        <f t="shared" si="35"/>
        <v>0</v>
      </c>
      <c r="E478" s="6"/>
      <c r="F478" s="6">
        <f t="shared" si="39"/>
        <v>0</v>
      </c>
      <c r="G478" s="149">
        <f>INDEX('Step 4 Stage Discharge'!E$26:F$126,MATCH(F478,'Step 4 Stage Discharge'!E$26:E$126,1),2)+(INDEX('Step 4 Stage Discharge'!E$26:F$126,MATCH(F478,'Step 4 Stage Discharge'!E$26:E$126,1)+1,2)-INDEX('Step 4 Stage Discharge'!E$26:F$126,MATCH(F478,'Step 4 Stage Discharge'!E$26:E$126,1),2))*(F478-INDEX('Step 4 Stage Discharge'!E$26:F$126,MATCH(F478,'Step 4 Stage Discharge'!E$26:E$126,1),1))/(INDEX('Step 4 Stage Discharge'!E$26:F$126,MATCH(F478,'Step 4 Stage Discharge'!E$26:E$126,1)+1,1)-INDEX('Step 4 Stage Discharge'!E$26:F$126,MATCH(F478,'Step 4 Stage Discharge'!E$26:E$126,1),1))</f>
        <v>0</v>
      </c>
      <c r="H478" s="149"/>
      <c r="I478" s="149">
        <f>INDEX('Step 4 Stage Discharge'!E$26:M$126,MATCH(F478,'Step 4 Stage Discharge'!E$26:E$126,1),9)+(INDEX('Step 4 Stage Discharge'!E$26:M$126,MATCH('Step 5 Routing'!F478,'Step 4 Stage Discharge'!E$26:E$126,1)+1,9)-INDEX('Step 4 Stage Discharge'!E$26:M$126,MATCH('Step 5 Routing'!F478,'Step 4 Stage Discharge'!E$26:E$126,1),9))*('Step 5 Routing'!F478-INDEX('Step 4 Stage Discharge'!E$26:M$126,MATCH('Step 5 Routing'!F478,'Step 4 Stage Discharge'!E$26:E$126,1),1))/(INDEX('Step 4 Stage Discharge'!E$26:M$126,MATCH('Step 5 Routing'!F478,'Step 4 Stage Discharge'!E$26:E$126,1)+1,1)-INDEX('Step 4 Stage Discharge'!E$26:M$126,MATCH('Step 5 Routing'!F478,'Step 4 Stage Discharge'!E$26:E$126,1),1))</f>
        <v>4.3639431710317386E-3</v>
      </c>
      <c r="J478" s="149"/>
      <c r="K478" s="6">
        <f t="shared" si="36"/>
        <v>0</v>
      </c>
      <c r="L478" s="6">
        <f t="shared" si="37"/>
        <v>0</v>
      </c>
    </row>
    <row r="479" spans="1:12">
      <c r="A479">
        <f t="shared" si="38"/>
        <v>466</v>
      </c>
      <c r="B479" s="136">
        <f>IF(C$5=Data!D$3,'Step 2 Inflow Hydrograph'!H523,IF(C$5=Data!D$4,'Step 2 Inflow Hydrograph'!I523,IF(C$5=Data!D$5,'Step 2 Inflow Hydrograph'!J523,'Step 2 Inflow Hydrograph'!K523)))</f>
        <v>0</v>
      </c>
      <c r="C479" s="127"/>
      <c r="D479" s="6">
        <f t="shared" si="35"/>
        <v>0</v>
      </c>
      <c r="E479" s="6"/>
      <c r="F479" s="6">
        <f t="shared" si="39"/>
        <v>0</v>
      </c>
      <c r="G479" s="149">
        <f>INDEX('Step 4 Stage Discharge'!E$26:F$126,MATCH(F479,'Step 4 Stage Discharge'!E$26:E$126,1),2)+(INDEX('Step 4 Stage Discharge'!E$26:F$126,MATCH(F479,'Step 4 Stage Discharge'!E$26:E$126,1)+1,2)-INDEX('Step 4 Stage Discharge'!E$26:F$126,MATCH(F479,'Step 4 Stage Discharge'!E$26:E$126,1),2))*(F479-INDEX('Step 4 Stage Discharge'!E$26:F$126,MATCH(F479,'Step 4 Stage Discharge'!E$26:E$126,1),1))/(INDEX('Step 4 Stage Discharge'!E$26:F$126,MATCH(F479,'Step 4 Stage Discharge'!E$26:E$126,1)+1,1)-INDEX('Step 4 Stage Discharge'!E$26:F$126,MATCH(F479,'Step 4 Stage Discharge'!E$26:E$126,1),1))</f>
        <v>0</v>
      </c>
      <c r="H479" s="149"/>
      <c r="I479" s="149">
        <f>INDEX('Step 4 Stage Discharge'!E$26:M$126,MATCH(F479,'Step 4 Stage Discharge'!E$26:E$126,1),9)+(INDEX('Step 4 Stage Discharge'!E$26:M$126,MATCH('Step 5 Routing'!F479,'Step 4 Stage Discharge'!E$26:E$126,1)+1,9)-INDEX('Step 4 Stage Discharge'!E$26:M$126,MATCH('Step 5 Routing'!F479,'Step 4 Stage Discharge'!E$26:E$126,1),9))*('Step 5 Routing'!F479-INDEX('Step 4 Stage Discharge'!E$26:M$126,MATCH('Step 5 Routing'!F479,'Step 4 Stage Discharge'!E$26:E$126,1),1))/(INDEX('Step 4 Stage Discharge'!E$26:M$126,MATCH('Step 5 Routing'!F479,'Step 4 Stage Discharge'!E$26:E$126,1)+1,1)-INDEX('Step 4 Stage Discharge'!E$26:M$126,MATCH('Step 5 Routing'!F479,'Step 4 Stage Discharge'!E$26:E$126,1),1))</f>
        <v>4.3639431710317386E-3</v>
      </c>
      <c r="J479" s="149"/>
      <c r="K479" s="6">
        <f t="shared" si="36"/>
        <v>0</v>
      </c>
      <c r="L479" s="6">
        <f t="shared" si="37"/>
        <v>0</v>
      </c>
    </row>
    <row r="480" spans="1:12">
      <c r="A480">
        <f t="shared" si="38"/>
        <v>467</v>
      </c>
      <c r="B480" s="136">
        <f>IF(C$5=Data!D$3,'Step 2 Inflow Hydrograph'!H524,IF(C$5=Data!D$4,'Step 2 Inflow Hydrograph'!I524,IF(C$5=Data!D$5,'Step 2 Inflow Hydrograph'!J524,'Step 2 Inflow Hydrograph'!K524)))</f>
        <v>0</v>
      </c>
      <c r="C480" s="127"/>
      <c r="D480" s="6">
        <f t="shared" si="35"/>
        <v>0</v>
      </c>
      <c r="E480" s="6"/>
      <c r="F480" s="6">
        <f t="shared" si="39"/>
        <v>0</v>
      </c>
      <c r="G480" s="149">
        <f>INDEX('Step 4 Stage Discharge'!E$26:F$126,MATCH(F480,'Step 4 Stage Discharge'!E$26:E$126,1),2)+(INDEX('Step 4 Stage Discharge'!E$26:F$126,MATCH(F480,'Step 4 Stage Discharge'!E$26:E$126,1)+1,2)-INDEX('Step 4 Stage Discharge'!E$26:F$126,MATCH(F480,'Step 4 Stage Discharge'!E$26:E$126,1),2))*(F480-INDEX('Step 4 Stage Discharge'!E$26:F$126,MATCH(F480,'Step 4 Stage Discharge'!E$26:E$126,1),1))/(INDEX('Step 4 Stage Discharge'!E$26:F$126,MATCH(F480,'Step 4 Stage Discharge'!E$26:E$126,1)+1,1)-INDEX('Step 4 Stage Discharge'!E$26:F$126,MATCH(F480,'Step 4 Stage Discharge'!E$26:E$126,1),1))</f>
        <v>0</v>
      </c>
      <c r="H480" s="149"/>
      <c r="I480" s="149">
        <f>INDEX('Step 4 Stage Discharge'!E$26:M$126,MATCH(F480,'Step 4 Stage Discharge'!E$26:E$126,1),9)+(INDEX('Step 4 Stage Discharge'!E$26:M$126,MATCH('Step 5 Routing'!F480,'Step 4 Stage Discharge'!E$26:E$126,1)+1,9)-INDEX('Step 4 Stage Discharge'!E$26:M$126,MATCH('Step 5 Routing'!F480,'Step 4 Stage Discharge'!E$26:E$126,1),9))*('Step 5 Routing'!F480-INDEX('Step 4 Stage Discharge'!E$26:M$126,MATCH('Step 5 Routing'!F480,'Step 4 Stage Discharge'!E$26:E$126,1),1))/(INDEX('Step 4 Stage Discharge'!E$26:M$126,MATCH('Step 5 Routing'!F480,'Step 4 Stage Discharge'!E$26:E$126,1)+1,1)-INDEX('Step 4 Stage Discharge'!E$26:M$126,MATCH('Step 5 Routing'!F480,'Step 4 Stage Discharge'!E$26:E$126,1),1))</f>
        <v>4.3639431710317386E-3</v>
      </c>
      <c r="J480" s="149"/>
      <c r="K480" s="6">
        <f t="shared" si="36"/>
        <v>0</v>
      </c>
      <c r="L480" s="6">
        <f t="shared" si="37"/>
        <v>0</v>
      </c>
    </row>
    <row r="481" spans="1:12">
      <c r="A481">
        <f t="shared" si="38"/>
        <v>468</v>
      </c>
      <c r="B481" s="136">
        <f>IF(C$5=Data!D$3,'Step 2 Inflow Hydrograph'!H525,IF(C$5=Data!D$4,'Step 2 Inflow Hydrograph'!I525,IF(C$5=Data!D$5,'Step 2 Inflow Hydrograph'!J525,'Step 2 Inflow Hydrograph'!K525)))</f>
        <v>0</v>
      </c>
      <c r="C481" s="127"/>
      <c r="D481" s="6">
        <f t="shared" si="35"/>
        <v>0</v>
      </c>
      <c r="E481" s="6"/>
      <c r="F481" s="6">
        <f t="shared" si="39"/>
        <v>0</v>
      </c>
      <c r="G481" s="149">
        <f>INDEX('Step 4 Stage Discharge'!E$26:F$126,MATCH(F481,'Step 4 Stage Discharge'!E$26:E$126,1),2)+(INDEX('Step 4 Stage Discharge'!E$26:F$126,MATCH(F481,'Step 4 Stage Discharge'!E$26:E$126,1)+1,2)-INDEX('Step 4 Stage Discharge'!E$26:F$126,MATCH(F481,'Step 4 Stage Discharge'!E$26:E$126,1),2))*(F481-INDEX('Step 4 Stage Discharge'!E$26:F$126,MATCH(F481,'Step 4 Stage Discharge'!E$26:E$126,1),1))/(INDEX('Step 4 Stage Discharge'!E$26:F$126,MATCH(F481,'Step 4 Stage Discharge'!E$26:E$126,1)+1,1)-INDEX('Step 4 Stage Discharge'!E$26:F$126,MATCH(F481,'Step 4 Stage Discharge'!E$26:E$126,1),1))</f>
        <v>0</v>
      </c>
      <c r="H481" s="149"/>
      <c r="I481" s="149">
        <f>INDEX('Step 4 Stage Discharge'!E$26:M$126,MATCH(F481,'Step 4 Stage Discharge'!E$26:E$126,1),9)+(INDEX('Step 4 Stage Discharge'!E$26:M$126,MATCH('Step 5 Routing'!F481,'Step 4 Stage Discharge'!E$26:E$126,1)+1,9)-INDEX('Step 4 Stage Discharge'!E$26:M$126,MATCH('Step 5 Routing'!F481,'Step 4 Stage Discharge'!E$26:E$126,1),9))*('Step 5 Routing'!F481-INDEX('Step 4 Stage Discharge'!E$26:M$126,MATCH('Step 5 Routing'!F481,'Step 4 Stage Discharge'!E$26:E$126,1),1))/(INDEX('Step 4 Stage Discharge'!E$26:M$126,MATCH('Step 5 Routing'!F481,'Step 4 Stage Discharge'!E$26:E$126,1)+1,1)-INDEX('Step 4 Stage Discharge'!E$26:M$126,MATCH('Step 5 Routing'!F481,'Step 4 Stage Discharge'!E$26:E$126,1),1))</f>
        <v>4.3639431710317386E-3</v>
      </c>
      <c r="J481" s="149"/>
      <c r="K481" s="6">
        <f t="shared" si="36"/>
        <v>0</v>
      </c>
      <c r="L481" s="6">
        <f t="shared" si="37"/>
        <v>0</v>
      </c>
    </row>
    <row r="482" spans="1:12">
      <c r="A482">
        <f t="shared" si="38"/>
        <v>469</v>
      </c>
      <c r="B482" s="136">
        <f>IF(C$5=Data!D$3,'Step 2 Inflow Hydrograph'!H526,IF(C$5=Data!D$4,'Step 2 Inflow Hydrograph'!I526,IF(C$5=Data!D$5,'Step 2 Inflow Hydrograph'!J526,'Step 2 Inflow Hydrograph'!K526)))</f>
        <v>0</v>
      </c>
      <c r="C482" s="127"/>
      <c r="D482" s="6">
        <f t="shared" si="35"/>
        <v>0</v>
      </c>
      <c r="E482" s="6"/>
      <c r="F482" s="6">
        <f t="shared" si="39"/>
        <v>0</v>
      </c>
      <c r="G482" s="149">
        <f>INDEX('Step 4 Stage Discharge'!E$26:F$126,MATCH(F482,'Step 4 Stage Discharge'!E$26:E$126,1),2)+(INDEX('Step 4 Stage Discharge'!E$26:F$126,MATCH(F482,'Step 4 Stage Discharge'!E$26:E$126,1)+1,2)-INDEX('Step 4 Stage Discharge'!E$26:F$126,MATCH(F482,'Step 4 Stage Discharge'!E$26:E$126,1),2))*(F482-INDEX('Step 4 Stage Discharge'!E$26:F$126,MATCH(F482,'Step 4 Stage Discharge'!E$26:E$126,1),1))/(INDEX('Step 4 Stage Discharge'!E$26:F$126,MATCH(F482,'Step 4 Stage Discharge'!E$26:E$126,1)+1,1)-INDEX('Step 4 Stage Discharge'!E$26:F$126,MATCH(F482,'Step 4 Stage Discharge'!E$26:E$126,1),1))</f>
        <v>0</v>
      </c>
      <c r="H482" s="149"/>
      <c r="I482" s="149">
        <f>INDEX('Step 4 Stage Discharge'!E$26:M$126,MATCH(F482,'Step 4 Stage Discharge'!E$26:E$126,1),9)+(INDEX('Step 4 Stage Discharge'!E$26:M$126,MATCH('Step 5 Routing'!F482,'Step 4 Stage Discharge'!E$26:E$126,1)+1,9)-INDEX('Step 4 Stage Discharge'!E$26:M$126,MATCH('Step 5 Routing'!F482,'Step 4 Stage Discharge'!E$26:E$126,1),9))*('Step 5 Routing'!F482-INDEX('Step 4 Stage Discharge'!E$26:M$126,MATCH('Step 5 Routing'!F482,'Step 4 Stage Discharge'!E$26:E$126,1),1))/(INDEX('Step 4 Stage Discharge'!E$26:M$126,MATCH('Step 5 Routing'!F482,'Step 4 Stage Discharge'!E$26:E$126,1)+1,1)-INDEX('Step 4 Stage Discharge'!E$26:M$126,MATCH('Step 5 Routing'!F482,'Step 4 Stage Discharge'!E$26:E$126,1),1))</f>
        <v>4.3639431710317386E-3</v>
      </c>
      <c r="J482" s="149"/>
      <c r="K482" s="6">
        <f t="shared" si="36"/>
        <v>0</v>
      </c>
      <c r="L482" s="6">
        <f t="shared" si="37"/>
        <v>0</v>
      </c>
    </row>
    <row r="483" spans="1:12">
      <c r="A483">
        <f t="shared" si="38"/>
        <v>470</v>
      </c>
      <c r="B483" s="136">
        <f>IF(C$5=Data!D$3,'Step 2 Inflow Hydrograph'!H527,IF(C$5=Data!D$4,'Step 2 Inflow Hydrograph'!I527,IF(C$5=Data!D$5,'Step 2 Inflow Hydrograph'!J527,'Step 2 Inflow Hydrograph'!K527)))</f>
        <v>0</v>
      </c>
      <c r="C483" s="127"/>
      <c r="D483" s="6">
        <f t="shared" si="35"/>
        <v>0</v>
      </c>
      <c r="E483" s="6"/>
      <c r="F483" s="6">
        <f t="shared" si="39"/>
        <v>0</v>
      </c>
      <c r="G483" s="149">
        <f>INDEX('Step 4 Stage Discharge'!E$26:F$126,MATCH(F483,'Step 4 Stage Discharge'!E$26:E$126,1),2)+(INDEX('Step 4 Stage Discharge'!E$26:F$126,MATCH(F483,'Step 4 Stage Discharge'!E$26:E$126,1)+1,2)-INDEX('Step 4 Stage Discharge'!E$26:F$126,MATCH(F483,'Step 4 Stage Discharge'!E$26:E$126,1),2))*(F483-INDEX('Step 4 Stage Discharge'!E$26:F$126,MATCH(F483,'Step 4 Stage Discharge'!E$26:E$126,1),1))/(INDEX('Step 4 Stage Discharge'!E$26:F$126,MATCH(F483,'Step 4 Stage Discharge'!E$26:E$126,1)+1,1)-INDEX('Step 4 Stage Discharge'!E$26:F$126,MATCH(F483,'Step 4 Stage Discharge'!E$26:E$126,1),1))</f>
        <v>0</v>
      </c>
      <c r="H483" s="149"/>
      <c r="I483" s="149">
        <f>INDEX('Step 4 Stage Discharge'!E$26:M$126,MATCH(F483,'Step 4 Stage Discharge'!E$26:E$126,1),9)+(INDEX('Step 4 Stage Discharge'!E$26:M$126,MATCH('Step 5 Routing'!F483,'Step 4 Stage Discharge'!E$26:E$126,1)+1,9)-INDEX('Step 4 Stage Discharge'!E$26:M$126,MATCH('Step 5 Routing'!F483,'Step 4 Stage Discharge'!E$26:E$126,1),9))*('Step 5 Routing'!F483-INDEX('Step 4 Stage Discharge'!E$26:M$126,MATCH('Step 5 Routing'!F483,'Step 4 Stage Discharge'!E$26:E$126,1),1))/(INDEX('Step 4 Stage Discharge'!E$26:M$126,MATCH('Step 5 Routing'!F483,'Step 4 Stage Discharge'!E$26:E$126,1)+1,1)-INDEX('Step 4 Stage Discharge'!E$26:M$126,MATCH('Step 5 Routing'!F483,'Step 4 Stage Discharge'!E$26:E$126,1),1))</f>
        <v>4.3639431710317386E-3</v>
      </c>
      <c r="J483" s="149"/>
      <c r="K483" s="6">
        <f t="shared" si="36"/>
        <v>0</v>
      </c>
      <c r="L483" s="6">
        <f t="shared" si="37"/>
        <v>0</v>
      </c>
    </row>
    <row r="484" spans="1:12">
      <c r="A484">
        <f t="shared" si="38"/>
        <v>471</v>
      </c>
      <c r="B484" s="136">
        <f>IF(C$5=Data!D$3,'Step 2 Inflow Hydrograph'!H528,IF(C$5=Data!D$4,'Step 2 Inflow Hydrograph'!I528,IF(C$5=Data!D$5,'Step 2 Inflow Hydrograph'!J528,'Step 2 Inflow Hydrograph'!K528)))</f>
        <v>0</v>
      </c>
      <c r="C484" s="127"/>
      <c r="D484" s="6">
        <f t="shared" si="35"/>
        <v>0</v>
      </c>
      <c r="E484" s="6"/>
      <c r="F484" s="6">
        <f t="shared" si="39"/>
        <v>0</v>
      </c>
      <c r="G484" s="149">
        <f>INDEX('Step 4 Stage Discharge'!E$26:F$126,MATCH(F484,'Step 4 Stage Discharge'!E$26:E$126,1),2)+(INDEX('Step 4 Stage Discharge'!E$26:F$126,MATCH(F484,'Step 4 Stage Discharge'!E$26:E$126,1)+1,2)-INDEX('Step 4 Stage Discharge'!E$26:F$126,MATCH(F484,'Step 4 Stage Discharge'!E$26:E$126,1),2))*(F484-INDEX('Step 4 Stage Discharge'!E$26:F$126,MATCH(F484,'Step 4 Stage Discharge'!E$26:E$126,1),1))/(INDEX('Step 4 Stage Discharge'!E$26:F$126,MATCH(F484,'Step 4 Stage Discharge'!E$26:E$126,1)+1,1)-INDEX('Step 4 Stage Discharge'!E$26:F$126,MATCH(F484,'Step 4 Stage Discharge'!E$26:E$126,1),1))</f>
        <v>0</v>
      </c>
      <c r="H484" s="149"/>
      <c r="I484" s="149">
        <f>INDEX('Step 4 Stage Discharge'!E$26:M$126,MATCH(F484,'Step 4 Stage Discharge'!E$26:E$126,1),9)+(INDEX('Step 4 Stage Discharge'!E$26:M$126,MATCH('Step 5 Routing'!F484,'Step 4 Stage Discharge'!E$26:E$126,1)+1,9)-INDEX('Step 4 Stage Discharge'!E$26:M$126,MATCH('Step 5 Routing'!F484,'Step 4 Stage Discharge'!E$26:E$126,1),9))*('Step 5 Routing'!F484-INDEX('Step 4 Stage Discharge'!E$26:M$126,MATCH('Step 5 Routing'!F484,'Step 4 Stage Discharge'!E$26:E$126,1),1))/(INDEX('Step 4 Stage Discharge'!E$26:M$126,MATCH('Step 5 Routing'!F484,'Step 4 Stage Discharge'!E$26:E$126,1)+1,1)-INDEX('Step 4 Stage Discharge'!E$26:M$126,MATCH('Step 5 Routing'!F484,'Step 4 Stage Discharge'!E$26:E$126,1),1))</f>
        <v>4.3639431710317386E-3</v>
      </c>
      <c r="J484" s="149"/>
      <c r="K484" s="6">
        <f t="shared" si="36"/>
        <v>0</v>
      </c>
      <c r="L484" s="6">
        <f t="shared" si="37"/>
        <v>0</v>
      </c>
    </row>
    <row r="485" spans="1:12">
      <c r="A485">
        <f t="shared" si="38"/>
        <v>472</v>
      </c>
      <c r="B485" s="136">
        <f>IF(C$5=Data!D$3,'Step 2 Inflow Hydrograph'!H529,IF(C$5=Data!D$4,'Step 2 Inflow Hydrograph'!I529,IF(C$5=Data!D$5,'Step 2 Inflow Hydrograph'!J529,'Step 2 Inflow Hydrograph'!K529)))</f>
        <v>0</v>
      </c>
      <c r="C485" s="127"/>
      <c r="D485" s="6">
        <f t="shared" si="35"/>
        <v>0</v>
      </c>
      <c r="E485" s="6"/>
      <c r="F485" s="6">
        <f t="shared" si="39"/>
        <v>0</v>
      </c>
      <c r="G485" s="149">
        <f>INDEX('Step 4 Stage Discharge'!E$26:F$126,MATCH(F485,'Step 4 Stage Discharge'!E$26:E$126,1),2)+(INDEX('Step 4 Stage Discharge'!E$26:F$126,MATCH(F485,'Step 4 Stage Discharge'!E$26:E$126,1)+1,2)-INDEX('Step 4 Stage Discharge'!E$26:F$126,MATCH(F485,'Step 4 Stage Discharge'!E$26:E$126,1),2))*(F485-INDEX('Step 4 Stage Discharge'!E$26:F$126,MATCH(F485,'Step 4 Stage Discharge'!E$26:E$126,1),1))/(INDEX('Step 4 Stage Discharge'!E$26:F$126,MATCH(F485,'Step 4 Stage Discharge'!E$26:E$126,1)+1,1)-INDEX('Step 4 Stage Discharge'!E$26:F$126,MATCH(F485,'Step 4 Stage Discharge'!E$26:E$126,1),1))</f>
        <v>0</v>
      </c>
      <c r="H485" s="149"/>
      <c r="I485" s="149">
        <f>INDEX('Step 4 Stage Discharge'!E$26:M$126,MATCH(F485,'Step 4 Stage Discharge'!E$26:E$126,1),9)+(INDEX('Step 4 Stage Discharge'!E$26:M$126,MATCH('Step 5 Routing'!F485,'Step 4 Stage Discharge'!E$26:E$126,1)+1,9)-INDEX('Step 4 Stage Discharge'!E$26:M$126,MATCH('Step 5 Routing'!F485,'Step 4 Stage Discharge'!E$26:E$126,1),9))*('Step 5 Routing'!F485-INDEX('Step 4 Stage Discharge'!E$26:M$126,MATCH('Step 5 Routing'!F485,'Step 4 Stage Discharge'!E$26:E$126,1),1))/(INDEX('Step 4 Stage Discharge'!E$26:M$126,MATCH('Step 5 Routing'!F485,'Step 4 Stage Discharge'!E$26:E$126,1)+1,1)-INDEX('Step 4 Stage Discharge'!E$26:M$126,MATCH('Step 5 Routing'!F485,'Step 4 Stage Discharge'!E$26:E$126,1),1))</f>
        <v>4.3639431710317386E-3</v>
      </c>
      <c r="J485" s="149"/>
      <c r="K485" s="6">
        <f t="shared" si="36"/>
        <v>0</v>
      </c>
      <c r="L485" s="6">
        <f t="shared" si="37"/>
        <v>0</v>
      </c>
    </row>
    <row r="486" spans="1:12">
      <c r="A486">
        <f t="shared" si="38"/>
        <v>473</v>
      </c>
      <c r="B486" s="136">
        <f>IF(C$5=Data!D$3,'Step 2 Inflow Hydrograph'!H530,IF(C$5=Data!D$4,'Step 2 Inflow Hydrograph'!I530,IF(C$5=Data!D$5,'Step 2 Inflow Hydrograph'!J530,'Step 2 Inflow Hydrograph'!K530)))</f>
        <v>0</v>
      </c>
      <c r="C486" s="127"/>
      <c r="D486" s="6">
        <f t="shared" si="35"/>
        <v>0</v>
      </c>
      <c r="E486" s="6"/>
      <c r="F486" s="6">
        <f t="shared" si="39"/>
        <v>0</v>
      </c>
      <c r="G486" s="149">
        <f>INDEX('Step 4 Stage Discharge'!E$26:F$126,MATCH(F486,'Step 4 Stage Discharge'!E$26:E$126,1),2)+(INDEX('Step 4 Stage Discharge'!E$26:F$126,MATCH(F486,'Step 4 Stage Discharge'!E$26:E$126,1)+1,2)-INDEX('Step 4 Stage Discharge'!E$26:F$126,MATCH(F486,'Step 4 Stage Discharge'!E$26:E$126,1),2))*(F486-INDEX('Step 4 Stage Discharge'!E$26:F$126,MATCH(F486,'Step 4 Stage Discharge'!E$26:E$126,1),1))/(INDEX('Step 4 Stage Discharge'!E$26:F$126,MATCH(F486,'Step 4 Stage Discharge'!E$26:E$126,1)+1,1)-INDEX('Step 4 Stage Discharge'!E$26:F$126,MATCH(F486,'Step 4 Stage Discharge'!E$26:E$126,1),1))</f>
        <v>0</v>
      </c>
      <c r="H486" s="149"/>
      <c r="I486" s="149">
        <f>INDEX('Step 4 Stage Discharge'!E$26:M$126,MATCH(F486,'Step 4 Stage Discharge'!E$26:E$126,1),9)+(INDEX('Step 4 Stage Discharge'!E$26:M$126,MATCH('Step 5 Routing'!F486,'Step 4 Stage Discharge'!E$26:E$126,1)+1,9)-INDEX('Step 4 Stage Discharge'!E$26:M$126,MATCH('Step 5 Routing'!F486,'Step 4 Stage Discharge'!E$26:E$126,1),9))*('Step 5 Routing'!F486-INDEX('Step 4 Stage Discharge'!E$26:M$126,MATCH('Step 5 Routing'!F486,'Step 4 Stage Discharge'!E$26:E$126,1),1))/(INDEX('Step 4 Stage Discharge'!E$26:M$126,MATCH('Step 5 Routing'!F486,'Step 4 Stage Discharge'!E$26:E$126,1)+1,1)-INDEX('Step 4 Stage Discharge'!E$26:M$126,MATCH('Step 5 Routing'!F486,'Step 4 Stage Discharge'!E$26:E$126,1),1))</f>
        <v>4.3639431710317386E-3</v>
      </c>
      <c r="J486" s="149"/>
      <c r="K486" s="6">
        <f t="shared" si="36"/>
        <v>0</v>
      </c>
      <c r="L486" s="6">
        <f t="shared" si="37"/>
        <v>0</v>
      </c>
    </row>
    <row r="487" spans="1:12">
      <c r="A487">
        <f t="shared" si="38"/>
        <v>474</v>
      </c>
      <c r="B487" s="136">
        <f>IF(C$5=Data!D$3,'Step 2 Inflow Hydrograph'!H531,IF(C$5=Data!D$4,'Step 2 Inflow Hydrograph'!I531,IF(C$5=Data!D$5,'Step 2 Inflow Hydrograph'!J531,'Step 2 Inflow Hydrograph'!K531)))</f>
        <v>0</v>
      </c>
      <c r="C487" s="127"/>
      <c r="D487" s="6">
        <f t="shared" si="35"/>
        <v>0</v>
      </c>
      <c r="E487" s="6"/>
      <c r="F487" s="6">
        <f t="shared" si="39"/>
        <v>0</v>
      </c>
      <c r="G487" s="149">
        <f>INDEX('Step 4 Stage Discharge'!E$26:F$126,MATCH(F487,'Step 4 Stage Discharge'!E$26:E$126,1),2)+(INDEX('Step 4 Stage Discharge'!E$26:F$126,MATCH(F487,'Step 4 Stage Discharge'!E$26:E$126,1)+1,2)-INDEX('Step 4 Stage Discharge'!E$26:F$126,MATCH(F487,'Step 4 Stage Discharge'!E$26:E$126,1),2))*(F487-INDEX('Step 4 Stage Discharge'!E$26:F$126,MATCH(F487,'Step 4 Stage Discharge'!E$26:E$126,1),1))/(INDEX('Step 4 Stage Discharge'!E$26:F$126,MATCH(F487,'Step 4 Stage Discharge'!E$26:E$126,1)+1,1)-INDEX('Step 4 Stage Discharge'!E$26:F$126,MATCH(F487,'Step 4 Stage Discharge'!E$26:E$126,1),1))</f>
        <v>0</v>
      </c>
      <c r="H487" s="149"/>
      <c r="I487" s="149">
        <f>INDEX('Step 4 Stage Discharge'!E$26:M$126,MATCH(F487,'Step 4 Stage Discharge'!E$26:E$126,1),9)+(INDEX('Step 4 Stage Discharge'!E$26:M$126,MATCH('Step 5 Routing'!F487,'Step 4 Stage Discharge'!E$26:E$126,1)+1,9)-INDEX('Step 4 Stage Discharge'!E$26:M$126,MATCH('Step 5 Routing'!F487,'Step 4 Stage Discharge'!E$26:E$126,1),9))*('Step 5 Routing'!F487-INDEX('Step 4 Stage Discharge'!E$26:M$126,MATCH('Step 5 Routing'!F487,'Step 4 Stage Discharge'!E$26:E$126,1),1))/(INDEX('Step 4 Stage Discharge'!E$26:M$126,MATCH('Step 5 Routing'!F487,'Step 4 Stage Discharge'!E$26:E$126,1)+1,1)-INDEX('Step 4 Stage Discharge'!E$26:M$126,MATCH('Step 5 Routing'!F487,'Step 4 Stage Discharge'!E$26:E$126,1),1))</f>
        <v>4.3639431710317386E-3</v>
      </c>
      <c r="J487" s="149"/>
      <c r="K487" s="6">
        <f t="shared" si="36"/>
        <v>0</v>
      </c>
      <c r="L487" s="6">
        <f t="shared" si="37"/>
        <v>0</v>
      </c>
    </row>
    <row r="488" spans="1:12">
      <c r="A488">
        <f t="shared" si="38"/>
        <v>475</v>
      </c>
      <c r="B488" s="136">
        <f>IF(C$5=Data!D$3,'Step 2 Inflow Hydrograph'!H532,IF(C$5=Data!D$4,'Step 2 Inflow Hydrograph'!I532,IF(C$5=Data!D$5,'Step 2 Inflow Hydrograph'!J532,'Step 2 Inflow Hydrograph'!K532)))</f>
        <v>0</v>
      </c>
      <c r="C488" s="127"/>
      <c r="D488" s="6">
        <f t="shared" si="35"/>
        <v>0</v>
      </c>
      <c r="E488" s="6"/>
      <c r="F488" s="6">
        <f t="shared" si="39"/>
        <v>0</v>
      </c>
      <c r="G488" s="149">
        <f>INDEX('Step 4 Stage Discharge'!E$26:F$126,MATCH(F488,'Step 4 Stage Discharge'!E$26:E$126,1),2)+(INDEX('Step 4 Stage Discharge'!E$26:F$126,MATCH(F488,'Step 4 Stage Discharge'!E$26:E$126,1)+1,2)-INDEX('Step 4 Stage Discharge'!E$26:F$126,MATCH(F488,'Step 4 Stage Discharge'!E$26:E$126,1),2))*(F488-INDEX('Step 4 Stage Discharge'!E$26:F$126,MATCH(F488,'Step 4 Stage Discharge'!E$26:E$126,1),1))/(INDEX('Step 4 Stage Discharge'!E$26:F$126,MATCH(F488,'Step 4 Stage Discharge'!E$26:E$126,1)+1,1)-INDEX('Step 4 Stage Discharge'!E$26:F$126,MATCH(F488,'Step 4 Stage Discharge'!E$26:E$126,1),1))</f>
        <v>0</v>
      </c>
      <c r="H488" s="149"/>
      <c r="I488" s="149">
        <f>INDEX('Step 4 Stage Discharge'!E$26:M$126,MATCH(F488,'Step 4 Stage Discharge'!E$26:E$126,1),9)+(INDEX('Step 4 Stage Discharge'!E$26:M$126,MATCH('Step 5 Routing'!F488,'Step 4 Stage Discharge'!E$26:E$126,1)+1,9)-INDEX('Step 4 Stage Discharge'!E$26:M$126,MATCH('Step 5 Routing'!F488,'Step 4 Stage Discharge'!E$26:E$126,1),9))*('Step 5 Routing'!F488-INDEX('Step 4 Stage Discharge'!E$26:M$126,MATCH('Step 5 Routing'!F488,'Step 4 Stage Discharge'!E$26:E$126,1),1))/(INDEX('Step 4 Stage Discharge'!E$26:M$126,MATCH('Step 5 Routing'!F488,'Step 4 Stage Discharge'!E$26:E$126,1)+1,1)-INDEX('Step 4 Stage Discharge'!E$26:M$126,MATCH('Step 5 Routing'!F488,'Step 4 Stage Discharge'!E$26:E$126,1),1))</f>
        <v>4.3639431710317386E-3</v>
      </c>
      <c r="J488" s="149"/>
      <c r="K488" s="6">
        <f t="shared" si="36"/>
        <v>0</v>
      </c>
      <c r="L488" s="6">
        <f t="shared" si="37"/>
        <v>0</v>
      </c>
    </row>
    <row r="489" spans="1:12">
      <c r="A489">
        <f t="shared" si="38"/>
        <v>476</v>
      </c>
      <c r="B489" s="136">
        <f>IF(C$5=Data!D$3,'Step 2 Inflow Hydrograph'!H533,IF(C$5=Data!D$4,'Step 2 Inflow Hydrograph'!I533,IF(C$5=Data!D$5,'Step 2 Inflow Hydrograph'!J533,'Step 2 Inflow Hydrograph'!K533)))</f>
        <v>0</v>
      </c>
      <c r="C489" s="127"/>
      <c r="D489" s="6">
        <f t="shared" si="35"/>
        <v>0</v>
      </c>
      <c r="E489" s="6"/>
      <c r="F489" s="6">
        <f t="shared" si="39"/>
        <v>0</v>
      </c>
      <c r="G489" s="149">
        <f>INDEX('Step 4 Stage Discharge'!E$26:F$126,MATCH(F489,'Step 4 Stage Discharge'!E$26:E$126,1),2)+(INDEX('Step 4 Stage Discharge'!E$26:F$126,MATCH(F489,'Step 4 Stage Discharge'!E$26:E$126,1)+1,2)-INDEX('Step 4 Stage Discharge'!E$26:F$126,MATCH(F489,'Step 4 Stage Discharge'!E$26:E$126,1),2))*(F489-INDEX('Step 4 Stage Discharge'!E$26:F$126,MATCH(F489,'Step 4 Stage Discharge'!E$26:E$126,1),1))/(INDEX('Step 4 Stage Discharge'!E$26:F$126,MATCH(F489,'Step 4 Stage Discharge'!E$26:E$126,1)+1,1)-INDEX('Step 4 Stage Discharge'!E$26:F$126,MATCH(F489,'Step 4 Stage Discharge'!E$26:E$126,1),1))</f>
        <v>0</v>
      </c>
      <c r="H489" s="149"/>
      <c r="I489" s="149">
        <f>INDEX('Step 4 Stage Discharge'!E$26:M$126,MATCH(F489,'Step 4 Stage Discharge'!E$26:E$126,1),9)+(INDEX('Step 4 Stage Discharge'!E$26:M$126,MATCH('Step 5 Routing'!F489,'Step 4 Stage Discharge'!E$26:E$126,1)+1,9)-INDEX('Step 4 Stage Discharge'!E$26:M$126,MATCH('Step 5 Routing'!F489,'Step 4 Stage Discharge'!E$26:E$126,1),9))*('Step 5 Routing'!F489-INDEX('Step 4 Stage Discharge'!E$26:M$126,MATCH('Step 5 Routing'!F489,'Step 4 Stage Discharge'!E$26:E$126,1),1))/(INDEX('Step 4 Stage Discharge'!E$26:M$126,MATCH('Step 5 Routing'!F489,'Step 4 Stage Discharge'!E$26:E$126,1)+1,1)-INDEX('Step 4 Stage Discharge'!E$26:M$126,MATCH('Step 5 Routing'!F489,'Step 4 Stage Discharge'!E$26:E$126,1),1))</f>
        <v>4.3639431710317386E-3</v>
      </c>
      <c r="J489" s="149"/>
      <c r="K489" s="6">
        <f t="shared" si="36"/>
        <v>0</v>
      </c>
      <c r="L489" s="6">
        <f t="shared" si="37"/>
        <v>0</v>
      </c>
    </row>
    <row r="490" spans="1:12">
      <c r="A490">
        <f t="shared" si="38"/>
        <v>477</v>
      </c>
      <c r="B490" s="136">
        <f>IF(C$5=Data!D$3,'Step 2 Inflow Hydrograph'!H534,IF(C$5=Data!D$4,'Step 2 Inflow Hydrograph'!I534,IF(C$5=Data!D$5,'Step 2 Inflow Hydrograph'!J534,'Step 2 Inflow Hydrograph'!K534)))</f>
        <v>0</v>
      </c>
      <c r="C490" s="127"/>
      <c r="D490" s="6">
        <f t="shared" si="35"/>
        <v>0</v>
      </c>
      <c r="E490" s="6"/>
      <c r="F490" s="6">
        <f t="shared" si="39"/>
        <v>0</v>
      </c>
      <c r="G490" s="149">
        <f>INDEX('Step 4 Stage Discharge'!E$26:F$126,MATCH(F490,'Step 4 Stage Discharge'!E$26:E$126,1),2)+(INDEX('Step 4 Stage Discharge'!E$26:F$126,MATCH(F490,'Step 4 Stage Discharge'!E$26:E$126,1)+1,2)-INDEX('Step 4 Stage Discharge'!E$26:F$126,MATCH(F490,'Step 4 Stage Discharge'!E$26:E$126,1),2))*(F490-INDEX('Step 4 Stage Discharge'!E$26:F$126,MATCH(F490,'Step 4 Stage Discharge'!E$26:E$126,1),1))/(INDEX('Step 4 Stage Discharge'!E$26:F$126,MATCH(F490,'Step 4 Stage Discharge'!E$26:E$126,1)+1,1)-INDEX('Step 4 Stage Discharge'!E$26:F$126,MATCH(F490,'Step 4 Stage Discharge'!E$26:E$126,1),1))</f>
        <v>0</v>
      </c>
      <c r="H490" s="149"/>
      <c r="I490" s="149">
        <f>INDEX('Step 4 Stage Discharge'!E$26:M$126,MATCH(F490,'Step 4 Stage Discharge'!E$26:E$126,1),9)+(INDEX('Step 4 Stage Discharge'!E$26:M$126,MATCH('Step 5 Routing'!F490,'Step 4 Stage Discharge'!E$26:E$126,1)+1,9)-INDEX('Step 4 Stage Discharge'!E$26:M$126,MATCH('Step 5 Routing'!F490,'Step 4 Stage Discharge'!E$26:E$126,1),9))*('Step 5 Routing'!F490-INDEX('Step 4 Stage Discharge'!E$26:M$126,MATCH('Step 5 Routing'!F490,'Step 4 Stage Discharge'!E$26:E$126,1),1))/(INDEX('Step 4 Stage Discharge'!E$26:M$126,MATCH('Step 5 Routing'!F490,'Step 4 Stage Discharge'!E$26:E$126,1)+1,1)-INDEX('Step 4 Stage Discharge'!E$26:M$126,MATCH('Step 5 Routing'!F490,'Step 4 Stage Discharge'!E$26:E$126,1),1))</f>
        <v>4.3639431710317386E-3</v>
      </c>
      <c r="J490" s="149"/>
      <c r="K490" s="6">
        <f t="shared" si="36"/>
        <v>0</v>
      </c>
      <c r="L490" s="6">
        <f t="shared" si="37"/>
        <v>0</v>
      </c>
    </row>
    <row r="491" spans="1:12">
      <c r="A491">
        <f t="shared" si="38"/>
        <v>478</v>
      </c>
      <c r="B491" s="136">
        <f>IF(C$5=Data!D$3,'Step 2 Inflow Hydrograph'!H535,IF(C$5=Data!D$4,'Step 2 Inflow Hydrograph'!I535,IF(C$5=Data!D$5,'Step 2 Inflow Hydrograph'!J535,'Step 2 Inflow Hydrograph'!K535)))</f>
        <v>0</v>
      </c>
      <c r="C491" s="127"/>
      <c r="D491" s="6">
        <f t="shared" si="35"/>
        <v>0</v>
      </c>
      <c r="E491" s="6"/>
      <c r="F491" s="6">
        <f t="shared" si="39"/>
        <v>0</v>
      </c>
      <c r="G491" s="149">
        <f>INDEX('Step 4 Stage Discharge'!E$26:F$126,MATCH(F491,'Step 4 Stage Discharge'!E$26:E$126,1),2)+(INDEX('Step 4 Stage Discharge'!E$26:F$126,MATCH(F491,'Step 4 Stage Discharge'!E$26:E$126,1)+1,2)-INDEX('Step 4 Stage Discharge'!E$26:F$126,MATCH(F491,'Step 4 Stage Discharge'!E$26:E$126,1),2))*(F491-INDEX('Step 4 Stage Discharge'!E$26:F$126,MATCH(F491,'Step 4 Stage Discharge'!E$26:E$126,1),1))/(INDEX('Step 4 Stage Discharge'!E$26:F$126,MATCH(F491,'Step 4 Stage Discharge'!E$26:E$126,1)+1,1)-INDEX('Step 4 Stage Discharge'!E$26:F$126,MATCH(F491,'Step 4 Stage Discharge'!E$26:E$126,1),1))</f>
        <v>0</v>
      </c>
      <c r="H491" s="149"/>
      <c r="I491" s="149">
        <f>INDEX('Step 4 Stage Discharge'!E$26:M$126,MATCH(F491,'Step 4 Stage Discharge'!E$26:E$126,1),9)+(INDEX('Step 4 Stage Discharge'!E$26:M$126,MATCH('Step 5 Routing'!F491,'Step 4 Stage Discharge'!E$26:E$126,1)+1,9)-INDEX('Step 4 Stage Discharge'!E$26:M$126,MATCH('Step 5 Routing'!F491,'Step 4 Stage Discharge'!E$26:E$126,1),9))*('Step 5 Routing'!F491-INDEX('Step 4 Stage Discharge'!E$26:M$126,MATCH('Step 5 Routing'!F491,'Step 4 Stage Discharge'!E$26:E$126,1),1))/(INDEX('Step 4 Stage Discharge'!E$26:M$126,MATCH('Step 5 Routing'!F491,'Step 4 Stage Discharge'!E$26:E$126,1)+1,1)-INDEX('Step 4 Stage Discharge'!E$26:M$126,MATCH('Step 5 Routing'!F491,'Step 4 Stage Discharge'!E$26:E$126,1),1))</f>
        <v>4.3639431710317386E-3</v>
      </c>
      <c r="J491" s="149"/>
      <c r="K491" s="6">
        <f t="shared" si="36"/>
        <v>0</v>
      </c>
      <c r="L491" s="6">
        <f t="shared" si="37"/>
        <v>0</v>
      </c>
    </row>
    <row r="492" spans="1:12">
      <c r="A492">
        <f t="shared" si="38"/>
        <v>479</v>
      </c>
      <c r="B492" s="136">
        <f>IF(C$5=Data!D$3,'Step 2 Inflow Hydrograph'!H536,IF(C$5=Data!D$4,'Step 2 Inflow Hydrograph'!I536,IF(C$5=Data!D$5,'Step 2 Inflow Hydrograph'!J536,'Step 2 Inflow Hydrograph'!K536)))</f>
        <v>0</v>
      </c>
      <c r="C492" s="127"/>
      <c r="D492" s="6">
        <f t="shared" si="35"/>
        <v>0</v>
      </c>
      <c r="E492" s="6"/>
      <c r="F492" s="6">
        <f t="shared" si="39"/>
        <v>0</v>
      </c>
      <c r="G492" s="149">
        <f>INDEX('Step 4 Stage Discharge'!E$26:F$126,MATCH(F492,'Step 4 Stage Discharge'!E$26:E$126,1),2)+(INDEX('Step 4 Stage Discharge'!E$26:F$126,MATCH(F492,'Step 4 Stage Discharge'!E$26:E$126,1)+1,2)-INDEX('Step 4 Stage Discharge'!E$26:F$126,MATCH(F492,'Step 4 Stage Discharge'!E$26:E$126,1),2))*(F492-INDEX('Step 4 Stage Discharge'!E$26:F$126,MATCH(F492,'Step 4 Stage Discharge'!E$26:E$126,1),1))/(INDEX('Step 4 Stage Discharge'!E$26:F$126,MATCH(F492,'Step 4 Stage Discharge'!E$26:E$126,1)+1,1)-INDEX('Step 4 Stage Discharge'!E$26:F$126,MATCH(F492,'Step 4 Stage Discharge'!E$26:E$126,1),1))</f>
        <v>0</v>
      </c>
      <c r="H492" s="149"/>
      <c r="I492" s="149">
        <f>INDEX('Step 4 Stage Discharge'!E$26:M$126,MATCH(F492,'Step 4 Stage Discharge'!E$26:E$126,1),9)+(INDEX('Step 4 Stage Discharge'!E$26:M$126,MATCH('Step 5 Routing'!F492,'Step 4 Stage Discharge'!E$26:E$126,1)+1,9)-INDEX('Step 4 Stage Discharge'!E$26:M$126,MATCH('Step 5 Routing'!F492,'Step 4 Stage Discharge'!E$26:E$126,1),9))*('Step 5 Routing'!F492-INDEX('Step 4 Stage Discharge'!E$26:M$126,MATCH('Step 5 Routing'!F492,'Step 4 Stage Discharge'!E$26:E$126,1),1))/(INDEX('Step 4 Stage Discharge'!E$26:M$126,MATCH('Step 5 Routing'!F492,'Step 4 Stage Discharge'!E$26:E$126,1)+1,1)-INDEX('Step 4 Stage Discharge'!E$26:M$126,MATCH('Step 5 Routing'!F492,'Step 4 Stage Discharge'!E$26:E$126,1),1))</f>
        <v>4.3639431710317386E-3</v>
      </c>
      <c r="J492" s="149"/>
      <c r="K492" s="6">
        <f t="shared" si="36"/>
        <v>0</v>
      </c>
      <c r="L492" s="6">
        <f t="shared" si="37"/>
        <v>0</v>
      </c>
    </row>
    <row r="493" spans="1:12">
      <c r="A493">
        <f t="shared" si="38"/>
        <v>480</v>
      </c>
      <c r="B493" s="136">
        <f>IF(C$5=Data!D$3,'Step 2 Inflow Hydrograph'!H537,IF(C$5=Data!D$4,'Step 2 Inflow Hydrograph'!I537,IF(C$5=Data!D$5,'Step 2 Inflow Hydrograph'!J537,'Step 2 Inflow Hydrograph'!K537)))</f>
        <v>0</v>
      </c>
      <c r="C493" s="127"/>
      <c r="D493" s="6">
        <f t="shared" si="35"/>
        <v>0</v>
      </c>
      <c r="E493" s="6"/>
      <c r="F493" s="6">
        <f t="shared" si="39"/>
        <v>0</v>
      </c>
      <c r="G493" s="149">
        <f>INDEX('Step 4 Stage Discharge'!E$26:F$126,MATCH(F493,'Step 4 Stage Discharge'!E$26:E$126,1),2)+(INDEX('Step 4 Stage Discharge'!E$26:F$126,MATCH(F493,'Step 4 Stage Discharge'!E$26:E$126,1)+1,2)-INDEX('Step 4 Stage Discharge'!E$26:F$126,MATCH(F493,'Step 4 Stage Discharge'!E$26:E$126,1),2))*(F493-INDEX('Step 4 Stage Discharge'!E$26:F$126,MATCH(F493,'Step 4 Stage Discharge'!E$26:E$126,1),1))/(INDEX('Step 4 Stage Discharge'!E$26:F$126,MATCH(F493,'Step 4 Stage Discharge'!E$26:E$126,1)+1,1)-INDEX('Step 4 Stage Discharge'!E$26:F$126,MATCH(F493,'Step 4 Stage Discharge'!E$26:E$126,1),1))</f>
        <v>0</v>
      </c>
      <c r="H493" s="149"/>
      <c r="I493" s="149">
        <f>INDEX('Step 4 Stage Discharge'!E$26:M$126,MATCH(F493,'Step 4 Stage Discharge'!E$26:E$126,1),9)+(INDEX('Step 4 Stage Discharge'!E$26:M$126,MATCH('Step 5 Routing'!F493,'Step 4 Stage Discharge'!E$26:E$126,1)+1,9)-INDEX('Step 4 Stage Discharge'!E$26:M$126,MATCH('Step 5 Routing'!F493,'Step 4 Stage Discharge'!E$26:E$126,1),9))*('Step 5 Routing'!F493-INDEX('Step 4 Stage Discharge'!E$26:M$126,MATCH('Step 5 Routing'!F493,'Step 4 Stage Discharge'!E$26:E$126,1),1))/(INDEX('Step 4 Stage Discharge'!E$26:M$126,MATCH('Step 5 Routing'!F493,'Step 4 Stage Discharge'!E$26:E$126,1)+1,1)-INDEX('Step 4 Stage Discharge'!E$26:M$126,MATCH('Step 5 Routing'!F493,'Step 4 Stage Discharge'!E$26:E$126,1),1))</f>
        <v>4.3639431710317386E-3</v>
      </c>
      <c r="J493" s="149"/>
      <c r="K493" s="6">
        <f t="shared" si="36"/>
        <v>0</v>
      </c>
      <c r="L493" s="6">
        <f t="shared" si="37"/>
        <v>0</v>
      </c>
    </row>
    <row r="494" spans="1:12">
      <c r="A494">
        <f t="shared" si="38"/>
        <v>481</v>
      </c>
      <c r="B494" s="136">
        <f>IF(C$5=Data!D$3,'Step 2 Inflow Hydrograph'!H538,IF(C$5=Data!D$4,'Step 2 Inflow Hydrograph'!I538,IF(C$5=Data!D$5,'Step 2 Inflow Hydrograph'!J538,'Step 2 Inflow Hydrograph'!K538)))</f>
        <v>0</v>
      </c>
      <c r="C494" s="127"/>
      <c r="D494" s="6">
        <f t="shared" si="35"/>
        <v>0</v>
      </c>
      <c r="E494" s="6"/>
      <c r="F494" s="6">
        <f t="shared" si="39"/>
        <v>0</v>
      </c>
      <c r="G494" s="149">
        <f>INDEX('Step 4 Stage Discharge'!E$26:F$126,MATCH(F494,'Step 4 Stage Discharge'!E$26:E$126,1),2)+(INDEX('Step 4 Stage Discharge'!E$26:F$126,MATCH(F494,'Step 4 Stage Discharge'!E$26:E$126,1)+1,2)-INDEX('Step 4 Stage Discharge'!E$26:F$126,MATCH(F494,'Step 4 Stage Discharge'!E$26:E$126,1),2))*(F494-INDEX('Step 4 Stage Discharge'!E$26:F$126,MATCH(F494,'Step 4 Stage Discharge'!E$26:E$126,1),1))/(INDEX('Step 4 Stage Discharge'!E$26:F$126,MATCH(F494,'Step 4 Stage Discharge'!E$26:E$126,1)+1,1)-INDEX('Step 4 Stage Discharge'!E$26:F$126,MATCH(F494,'Step 4 Stage Discharge'!E$26:E$126,1),1))</f>
        <v>0</v>
      </c>
      <c r="H494" s="149"/>
      <c r="I494" s="149">
        <f>INDEX('Step 4 Stage Discharge'!E$26:M$126,MATCH(F494,'Step 4 Stage Discharge'!E$26:E$126,1),9)+(INDEX('Step 4 Stage Discharge'!E$26:M$126,MATCH('Step 5 Routing'!F494,'Step 4 Stage Discharge'!E$26:E$126,1)+1,9)-INDEX('Step 4 Stage Discharge'!E$26:M$126,MATCH('Step 5 Routing'!F494,'Step 4 Stage Discharge'!E$26:E$126,1),9))*('Step 5 Routing'!F494-INDEX('Step 4 Stage Discharge'!E$26:M$126,MATCH('Step 5 Routing'!F494,'Step 4 Stage Discharge'!E$26:E$126,1),1))/(INDEX('Step 4 Stage Discharge'!E$26:M$126,MATCH('Step 5 Routing'!F494,'Step 4 Stage Discharge'!E$26:E$126,1)+1,1)-INDEX('Step 4 Stage Discharge'!E$26:M$126,MATCH('Step 5 Routing'!F494,'Step 4 Stage Discharge'!E$26:E$126,1),1))</f>
        <v>4.3639431710317386E-3</v>
      </c>
      <c r="J494" s="149"/>
      <c r="K494" s="6">
        <f t="shared" si="36"/>
        <v>0</v>
      </c>
      <c r="L494" s="6">
        <f t="shared" si="37"/>
        <v>0</v>
      </c>
    </row>
    <row r="495" spans="1:12">
      <c r="A495">
        <f t="shared" si="38"/>
        <v>482</v>
      </c>
      <c r="B495" s="136">
        <f>IF(C$5=Data!D$3,'Step 2 Inflow Hydrograph'!H539,IF(C$5=Data!D$4,'Step 2 Inflow Hydrograph'!I539,IF(C$5=Data!D$5,'Step 2 Inflow Hydrograph'!J539,'Step 2 Inflow Hydrograph'!K539)))</f>
        <v>0</v>
      </c>
      <c r="C495" s="127"/>
      <c r="D495" s="6">
        <f t="shared" si="35"/>
        <v>0</v>
      </c>
      <c r="E495" s="6"/>
      <c r="F495" s="6">
        <f t="shared" si="39"/>
        <v>0</v>
      </c>
      <c r="G495" s="149">
        <f>INDEX('Step 4 Stage Discharge'!E$26:F$126,MATCH(F495,'Step 4 Stage Discharge'!E$26:E$126,1),2)+(INDEX('Step 4 Stage Discharge'!E$26:F$126,MATCH(F495,'Step 4 Stage Discharge'!E$26:E$126,1)+1,2)-INDEX('Step 4 Stage Discharge'!E$26:F$126,MATCH(F495,'Step 4 Stage Discharge'!E$26:E$126,1),2))*(F495-INDEX('Step 4 Stage Discharge'!E$26:F$126,MATCH(F495,'Step 4 Stage Discharge'!E$26:E$126,1),1))/(INDEX('Step 4 Stage Discharge'!E$26:F$126,MATCH(F495,'Step 4 Stage Discharge'!E$26:E$126,1)+1,1)-INDEX('Step 4 Stage Discharge'!E$26:F$126,MATCH(F495,'Step 4 Stage Discharge'!E$26:E$126,1),1))</f>
        <v>0</v>
      </c>
      <c r="H495" s="149"/>
      <c r="I495" s="149">
        <f>INDEX('Step 4 Stage Discharge'!E$26:M$126,MATCH(F495,'Step 4 Stage Discharge'!E$26:E$126,1),9)+(INDEX('Step 4 Stage Discharge'!E$26:M$126,MATCH('Step 5 Routing'!F495,'Step 4 Stage Discharge'!E$26:E$126,1)+1,9)-INDEX('Step 4 Stage Discharge'!E$26:M$126,MATCH('Step 5 Routing'!F495,'Step 4 Stage Discharge'!E$26:E$126,1),9))*('Step 5 Routing'!F495-INDEX('Step 4 Stage Discharge'!E$26:M$126,MATCH('Step 5 Routing'!F495,'Step 4 Stage Discharge'!E$26:E$126,1),1))/(INDEX('Step 4 Stage Discharge'!E$26:M$126,MATCH('Step 5 Routing'!F495,'Step 4 Stage Discharge'!E$26:E$126,1)+1,1)-INDEX('Step 4 Stage Discharge'!E$26:M$126,MATCH('Step 5 Routing'!F495,'Step 4 Stage Discharge'!E$26:E$126,1),1))</f>
        <v>4.3639431710317386E-3</v>
      </c>
      <c r="J495" s="149"/>
      <c r="K495" s="6">
        <f t="shared" si="36"/>
        <v>0</v>
      </c>
      <c r="L495" s="6">
        <f t="shared" si="37"/>
        <v>0</v>
      </c>
    </row>
    <row r="496" spans="1:12">
      <c r="A496">
        <f t="shared" si="38"/>
        <v>483</v>
      </c>
      <c r="B496" s="136">
        <f>IF(C$5=Data!D$3,'Step 2 Inflow Hydrograph'!H540,IF(C$5=Data!D$4,'Step 2 Inflow Hydrograph'!I540,IF(C$5=Data!D$5,'Step 2 Inflow Hydrograph'!J540,'Step 2 Inflow Hydrograph'!K540)))</f>
        <v>0</v>
      </c>
      <c r="C496" s="127"/>
      <c r="D496" s="6">
        <f t="shared" si="35"/>
        <v>0</v>
      </c>
      <c r="E496" s="6"/>
      <c r="F496" s="6">
        <f t="shared" si="39"/>
        <v>0</v>
      </c>
      <c r="G496" s="149">
        <f>INDEX('Step 4 Stage Discharge'!E$26:F$126,MATCH(F496,'Step 4 Stage Discharge'!E$26:E$126,1),2)+(INDEX('Step 4 Stage Discharge'!E$26:F$126,MATCH(F496,'Step 4 Stage Discharge'!E$26:E$126,1)+1,2)-INDEX('Step 4 Stage Discharge'!E$26:F$126,MATCH(F496,'Step 4 Stage Discharge'!E$26:E$126,1),2))*(F496-INDEX('Step 4 Stage Discharge'!E$26:F$126,MATCH(F496,'Step 4 Stage Discharge'!E$26:E$126,1),1))/(INDEX('Step 4 Stage Discharge'!E$26:F$126,MATCH(F496,'Step 4 Stage Discharge'!E$26:E$126,1)+1,1)-INDEX('Step 4 Stage Discharge'!E$26:F$126,MATCH(F496,'Step 4 Stage Discharge'!E$26:E$126,1),1))</f>
        <v>0</v>
      </c>
      <c r="H496" s="149"/>
      <c r="I496" s="149">
        <f>INDEX('Step 4 Stage Discharge'!E$26:M$126,MATCH(F496,'Step 4 Stage Discharge'!E$26:E$126,1),9)+(INDEX('Step 4 Stage Discharge'!E$26:M$126,MATCH('Step 5 Routing'!F496,'Step 4 Stage Discharge'!E$26:E$126,1)+1,9)-INDEX('Step 4 Stage Discharge'!E$26:M$126,MATCH('Step 5 Routing'!F496,'Step 4 Stage Discharge'!E$26:E$126,1),9))*('Step 5 Routing'!F496-INDEX('Step 4 Stage Discharge'!E$26:M$126,MATCH('Step 5 Routing'!F496,'Step 4 Stage Discharge'!E$26:E$126,1),1))/(INDEX('Step 4 Stage Discharge'!E$26:M$126,MATCH('Step 5 Routing'!F496,'Step 4 Stage Discharge'!E$26:E$126,1)+1,1)-INDEX('Step 4 Stage Discharge'!E$26:M$126,MATCH('Step 5 Routing'!F496,'Step 4 Stage Discharge'!E$26:E$126,1),1))</f>
        <v>4.3639431710317386E-3</v>
      </c>
      <c r="J496" s="149"/>
      <c r="K496" s="6">
        <f t="shared" si="36"/>
        <v>0</v>
      </c>
      <c r="L496" s="6">
        <f t="shared" si="37"/>
        <v>0</v>
      </c>
    </row>
    <row r="497" spans="1:12">
      <c r="A497">
        <f t="shared" si="38"/>
        <v>484</v>
      </c>
      <c r="B497" s="136">
        <f>IF(C$5=Data!D$3,'Step 2 Inflow Hydrograph'!H541,IF(C$5=Data!D$4,'Step 2 Inflow Hydrograph'!I541,IF(C$5=Data!D$5,'Step 2 Inflow Hydrograph'!J541,'Step 2 Inflow Hydrograph'!K541)))</f>
        <v>0</v>
      </c>
      <c r="C497" s="127"/>
      <c r="D497" s="6">
        <f t="shared" si="35"/>
        <v>0</v>
      </c>
      <c r="E497" s="6"/>
      <c r="F497" s="6">
        <f t="shared" si="39"/>
        <v>0</v>
      </c>
      <c r="G497" s="149">
        <f>INDEX('Step 4 Stage Discharge'!E$26:F$126,MATCH(F497,'Step 4 Stage Discharge'!E$26:E$126,1),2)+(INDEX('Step 4 Stage Discharge'!E$26:F$126,MATCH(F497,'Step 4 Stage Discharge'!E$26:E$126,1)+1,2)-INDEX('Step 4 Stage Discharge'!E$26:F$126,MATCH(F497,'Step 4 Stage Discharge'!E$26:E$126,1),2))*(F497-INDEX('Step 4 Stage Discharge'!E$26:F$126,MATCH(F497,'Step 4 Stage Discharge'!E$26:E$126,1),1))/(INDEX('Step 4 Stage Discharge'!E$26:F$126,MATCH(F497,'Step 4 Stage Discharge'!E$26:E$126,1)+1,1)-INDEX('Step 4 Stage Discharge'!E$26:F$126,MATCH(F497,'Step 4 Stage Discharge'!E$26:E$126,1),1))</f>
        <v>0</v>
      </c>
      <c r="H497" s="149"/>
      <c r="I497" s="149">
        <f>INDEX('Step 4 Stage Discharge'!E$26:M$126,MATCH(F497,'Step 4 Stage Discharge'!E$26:E$126,1),9)+(INDEX('Step 4 Stage Discharge'!E$26:M$126,MATCH('Step 5 Routing'!F497,'Step 4 Stage Discharge'!E$26:E$126,1)+1,9)-INDEX('Step 4 Stage Discharge'!E$26:M$126,MATCH('Step 5 Routing'!F497,'Step 4 Stage Discharge'!E$26:E$126,1),9))*('Step 5 Routing'!F497-INDEX('Step 4 Stage Discharge'!E$26:M$126,MATCH('Step 5 Routing'!F497,'Step 4 Stage Discharge'!E$26:E$126,1),1))/(INDEX('Step 4 Stage Discharge'!E$26:M$126,MATCH('Step 5 Routing'!F497,'Step 4 Stage Discharge'!E$26:E$126,1)+1,1)-INDEX('Step 4 Stage Discharge'!E$26:M$126,MATCH('Step 5 Routing'!F497,'Step 4 Stage Discharge'!E$26:E$126,1),1))</f>
        <v>4.3639431710317386E-3</v>
      </c>
      <c r="J497" s="149"/>
      <c r="K497" s="6">
        <f t="shared" si="36"/>
        <v>0</v>
      </c>
      <c r="L497" s="6">
        <f t="shared" si="37"/>
        <v>0</v>
      </c>
    </row>
    <row r="498" spans="1:12">
      <c r="A498">
        <f t="shared" si="38"/>
        <v>485</v>
      </c>
      <c r="B498" s="136">
        <f>IF(C$5=Data!D$3,'Step 2 Inflow Hydrograph'!H542,IF(C$5=Data!D$4,'Step 2 Inflow Hydrograph'!I542,IF(C$5=Data!D$5,'Step 2 Inflow Hydrograph'!J542,'Step 2 Inflow Hydrograph'!K542)))</f>
        <v>0</v>
      </c>
      <c r="C498" s="127"/>
      <c r="D498" s="6">
        <f t="shared" si="35"/>
        <v>0</v>
      </c>
      <c r="E498" s="6"/>
      <c r="F498" s="6">
        <f t="shared" si="39"/>
        <v>0</v>
      </c>
      <c r="G498" s="149">
        <f>INDEX('Step 4 Stage Discharge'!E$26:F$126,MATCH(F498,'Step 4 Stage Discharge'!E$26:E$126,1),2)+(INDEX('Step 4 Stage Discharge'!E$26:F$126,MATCH(F498,'Step 4 Stage Discharge'!E$26:E$126,1)+1,2)-INDEX('Step 4 Stage Discharge'!E$26:F$126,MATCH(F498,'Step 4 Stage Discharge'!E$26:E$126,1),2))*(F498-INDEX('Step 4 Stage Discharge'!E$26:F$126,MATCH(F498,'Step 4 Stage Discharge'!E$26:E$126,1),1))/(INDEX('Step 4 Stage Discharge'!E$26:F$126,MATCH(F498,'Step 4 Stage Discharge'!E$26:E$126,1)+1,1)-INDEX('Step 4 Stage Discharge'!E$26:F$126,MATCH(F498,'Step 4 Stage Discharge'!E$26:E$126,1),1))</f>
        <v>0</v>
      </c>
      <c r="H498" s="149"/>
      <c r="I498" s="149">
        <f>INDEX('Step 4 Stage Discharge'!E$26:M$126,MATCH(F498,'Step 4 Stage Discharge'!E$26:E$126,1),9)+(INDEX('Step 4 Stage Discharge'!E$26:M$126,MATCH('Step 5 Routing'!F498,'Step 4 Stage Discharge'!E$26:E$126,1)+1,9)-INDEX('Step 4 Stage Discharge'!E$26:M$126,MATCH('Step 5 Routing'!F498,'Step 4 Stage Discharge'!E$26:E$126,1),9))*('Step 5 Routing'!F498-INDEX('Step 4 Stage Discharge'!E$26:M$126,MATCH('Step 5 Routing'!F498,'Step 4 Stage Discharge'!E$26:E$126,1),1))/(INDEX('Step 4 Stage Discharge'!E$26:M$126,MATCH('Step 5 Routing'!F498,'Step 4 Stage Discharge'!E$26:E$126,1)+1,1)-INDEX('Step 4 Stage Discharge'!E$26:M$126,MATCH('Step 5 Routing'!F498,'Step 4 Stage Discharge'!E$26:E$126,1),1))</f>
        <v>4.3639431710317386E-3</v>
      </c>
      <c r="J498" s="149"/>
      <c r="K498" s="6">
        <f t="shared" si="36"/>
        <v>0</v>
      </c>
      <c r="L498" s="6">
        <f t="shared" si="37"/>
        <v>0</v>
      </c>
    </row>
    <row r="499" spans="1:12">
      <c r="A499">
        <f t="shared" si="38"/>
        <v>486</v>
      </c>
      <c r="B499" s="136">
        <f>IF(C$5=Data!D$3,'Step 2 Inflow Hydrograph'!H543,IF(C$5=Data!D$4,'Step 2 Inflow Hydrograph'!I543,IF(C$5=Data!D$5,'Step 2 Inflow Hydrograph'!J543,'Step 2 Inflow Hydrograph'!K543)))</f>
        <v>0</v>
      </c>
      <c r="C499" s="127"/>
      <c r="D499" s="6">
        <f t="shared" si="35"/>
        <v>0</v>
      </c>
      <c r="E499" s="6"/>
      <c r="F499" s="6">
        <f t="shared" si="39"/>
        <v>0</v>
      </c>
      <c r="G499" s="149">
        <f>INDEX('Step 4 Stage Discharge'!E$26:F$126,MATCH(F499,'Step 4 Stage Discharge'!E$26:E$126,1),2)+(INDEX('Step 4 Stage Discharge'!E$26:F$126,MATCH(F499,'Step 4 Stage Discharge'!E$26:E$126,1)+1,2)-INDEX('Step 4 Stage Discharge'!E$26:F$126,MATCH(F499,'Step 4 Stage Discharge'!E$26:E$126,1),2))*(F499-INDEX('Step 4 Stage Discharge'!E$26:F$126,MATCH(F499,'Step 4 Stage Discharge'!E$26:E$126,1),1))/(INDEX('Step 4 Stage Discharge'!E$26:F$126,MATCH(F499,'Step 4 Stage Discharge'!E$26:E$126,1)+1,1)-INDEX('Step 4 Stage Discharge'!E$26:F$126,MATCH(F499,'Step 4 Stage Discharge'!E$26:E$126,1),1))</f>
        <v>0</v>
      </c>
      <c r="H499" s="149"/>
      <c r="I499" s="149">
        <f>INDEX('Step 4 Stage Discharge'!E$26:M$126,MATCH(F499,'Step 4 Stage Discharge'!E$26:E$126,1),9)+(INDEX('Step 4 Stage Discharge'!E$26:M$126,MATCH('Step 5 Routing'!F499,'Step 4 Stage Discharge'!E$26:E$126,1)+1,9)-INDEX('Step 4 Stage Discharge'!E$26:M$126,MATCH('Step 5 Routing'!F499,'Step 4 Stage Discharge'!E$26:E$126,1),9))*('Step 5 Routing'!F499-INDEX('Step 4 Stage Discharge'!E$26:M$126,MATCH('Step 5 Routing'!F499,'Step 4 Stage Discharge'!E$26:E$126,1),1))/(INDEX('Step 4 Stage Discharge'!E$26:M$126,MATCH('Step 5 Routing'!F499,'Step 4 Stage Discharge'!E$26:E$126,1)+1,1)-INDEX('Step 4 Stage Discharge'!E$26:M$126,MATCH('Step 5 Routing'!F499,'Step 4 Stage Discharge'!E$26:E$126,1),1))</f>
        <v>4.3639431710317386E-3</v>
      </c>
      <c r="J499" s="149"/>
      <c r="K499" s="6">
        <f t="shared" si="36"/>
        <v>0</v>
      </c>
      <c r="L499" s="6">
        <f t="shared" si="37"/>
        <v>0</v>
      </c>
    </row>
    <row r="500" spans="1:12">
      <c r="A500">
        <f t="shared" si="38"/>
        <v>487</v>
      </c>
      <c r="B500" s="136">
        <f>IF(C$5=Data!D$3,'Step 2 Inflow Hydrograph'!H544,IF(C$5=Data!D$4,'Step 2 Inflow Hydrograph'!I544,IF(C$5=Data!D$5,'Step 2 Inflow Hydrograph'!J544,'Step 2 Inflow Hydrograph'!K544)))</f>
        <v>0</v>
      </c>
      <c r="C500" s="127"/>
      <c r="D500" s="6">
        <f t="shared" si="35"/>
        <v>0</v>
      </c>
      <c r="E500" s="6"/>
      <c r="F500" s="6">
        <f t="shared" si="39"/>
        <v>0</v>
      </c>
      <c r="G500" s="149">
        <f>INDEX('Step 4 Stage Discharge'!E$26:F$126,MATCH(F500,'Step 4 Stage Discharge'!E$26:E$126,1),2)+(INDEX('Step 4 Stage Discharge'!E$26:F$126,MATCH(F500,'Step 4 Stage Discharge'!E$26:E$126,1)+1,2)-INDEX('Step 4 Stage Discharge'!E$26:F$126,MATCH(F500,'Step 4 Stage Discharge'!E$26:E$126,1),2))*(F500-INDEX('Step 4 Stage Discharge'!E$26:F$126,MATCH(F500,'Step 4 Stage Discharge'!E$26:E$126,1),1))/(INDEX('Step 4 Stage Discharge'!E$26:F$126,MATCH(F500,'Step 4 Stage Discharge'!E$26:E$126,1)+1,1)-INDEX('Step 4 Stage Discharge'!E$26:F$126,MATCH(F500,'Step 4 Stage Discharge'!E$26:E$126,1),1))</f>
        <v>0</v>
      </c>
      <c r="H500" s="149"/>
      <c r="I500" s="149">
        <f>INDEX('Step 4 Stage Discharge'!E$26:M$126,MATCH(F500,'Step 4 Stage Discharge'!E$26:E$126,1),9)+(INDEX('Step 4 Stage Discharge'!E$26:M$126,MATCH('Step 5 Routing'!F500,'Step 4 Stage Discharge'!E$26:E$126,1)+1,9)-INDEX('Step 4 Stage Discharge'!E$26:M$126,MATCH('Step 5 Routing'!F500,'Step 4 Stage Discharge'!E$26:E$126,1),9))*('Step 5 Routing'!F500-INDEX('Step 4 Stage Discharge'!E$26:M$126,MATCH('Step 5 Routing'!F500,'Step 4 Stage Discharge'!E$26:E$126,1),1))/(INDEX('Step 4 Stage Discharge'!E$26:M$126,MATCH('Step 5 Routing'!F500,'Step 4 Stage Discharge'!E$26:E$126,1)+1,1)-INDEX('Step 4 Stage Discharge'!E$26:M$126,MATCH('Step 5 Routing'!F500,'Step 4 Stage Discharge'!E$26:E$126,1),1))</f>
        <v>4.3639431710317386E-3</v>
      </c>
      <c r="J500" s="149"/>
      <c r="K500" s="6">
        <f t="shared" si="36"/>
        <v>0</v>
      </c>
      <c r="L500" s="6">
        <f t="shared" si="37"/>
        <v>0</v>
      </c>
    </row>
    <row r="501" spans="1:12">
      <c r="A501">
        <f t="shared" si="38"/>
        <v>488</v>
      </c>
      <c r="B501" s="136">
        <f>IF(C$5=Data!D$3,'Step 2 Inflow Hydrograph'!H545,IF(C$5=Data!D$4,'Step 2 Inflow Hydrograph'!I545,IF(C$5=Data!D$5,'Step 2 Inflow Hydrograph'!J545,'Step 2 Inflow Hydrograph'!K545)))</f>
        <v>0</v>
      </c>
      <c r="C501" s="127"/>
      <c r="D501" s="6">
        <f t="shared" si="35"/>
        <v>0</v>
      </c>
      <c r="E501" s="6"/>
      <c r="F501" s="6">
        <f t="shared" si="39"/>
        <v>0</v>
      </c>
      <c r="G501" s="149">
        <f>INDEX('Step 4 Stage Discharge'!E$26:F$126,MATCH(F501,'Step 4 Stage Discharge'!E$26:E$126,1),2)+(INDEX('Step 4 Stage Discharge'!E$26:F$126,MATCH(F501,'Step 4 Stage Discharge'!E$26:E$126,1)+1,2)-INDEX('Step 4 Stage Discharge'!E$26:F$126,MATCH(F501,'Step 4 Stage Discharge'!E$26:E$126,1),2))*(F501-INDEX('Step 4 Stage Discharge'!E$26:F$126,MATCH(F501,'Step 4 Stage Discharge'!E$26:E$126,1),1))/(INDEX('Step 4 Stage Discharge'!E$26:F$126,MATCH(F501,'Step 4 Stage Discharge'!E$26:E$126,1)+1,1)-INDEX('Step 4 Stage Discharge'!E$26:F$126,MATCH(F501,'Step 4 Stage Discharge'!E$26:E$126,1),1))</f>
        <v>0</v>
      </c>
      <c r="H501" s="149"/>
      <c r="I501" s="149">
        <f>INDEX('Step 4 Stage Discharge'!E$26:M$126,MATCH(F501,'Step 4 Stage Discharge'!E$26:E$126,1),9)+(INDEX('Step 4 Stage Discharge'!E$26:M$126,MATCH('Step 5 Routing'!F501,'Step 4 Stage Discharge'!E$26:E$126,1)+1,9)-INDEX('Step 4 Stage Discharge'!E$26:M$126,MATCH('Step 5 Routing'!F501,'Step 4 Stage Discharge'!E$26:E$126,1),9))*('Step 5 Routing'!F501-INDEX('Step 4 Stage Discharge'!E$26:M$126,MATCH('Step 5 Routing'!F501,'Step 4 Stage Discharge'!E$26:E$126,1),1))/(INDEX('Step 4 Stage Discharge'!E$26:M$126,MATCH('Step 5 Routing'!F501,'Step 4 Stage Discharge'!E$26:E$126,1)+1,1)-INDEX('Step 4 Stage Discharge'!E$26:M$126,MATCH('Step 5 Routing'!F501,'Step 4 Stage Discharge'!E$26:E$126,1),1))</f>
        <v>4.3639431710317386E-3</v>
      </c>
      <c r="J501" s="149"/>
      <c r="K501" s="6">
        <f t="shared" si="36"/>
        <v>0</v>
      </c>
      <c r="L501" s="6">
        <f t="shared" si="37"/>
        <v>0</v>
      </c>
    </row>
    <row r="502" spans="1:12">
      <c r="A502">
        <f t="shared" si="38"/>
        <v>489</v>
      </c>
      <c r="B502" s="136">
        <f>IF(C$5=Data!D$3,'Step 2 Inflow Hydrograph'!H546,IF(C$5=Data!D$4,'Step 2 Inflow Hydrograph'!I546,IF(C$5=Data!D$5,'Step 2 Inflow Hydrograph'!J546,'Step 2 Inflow Hydrograph'!K546)))</f>
        <v>0</v>
      </c>
      <c r="C502" s="127"/>
      <c r="D502" s="6">
        <f t="shared" si="35"/>
        <v>0</v>
      </c>
      <c r="E502" s="6"/>
      <c r="F502" s="6">
        <f t="shared" si="39"/>
        <v>0</v>
      </c>
      <c r="G502" s="149">
        <f>INDEX('Step 4 Stage Discharge'!E$26:F$126,MATCH(F502,'Step 4 Stage Discharge'!E$26:E$126,1),2)+(INDEX('Step 4 Stage Discharge'!E$26:F$126,MATCH(F502,'Step 4 Stage Discharge'!E$26:E$126,1)+1,2)-INDEX('Step 4 Stage Discharge'!E$26:F$126,MATCH(F502,'Step 4 Stage Discharge'!E$26:E$126,1),2))*(F502-INDEX('Step 4 Stage Discharge'!E$26:F$126,MATCH(F502,'Step 4 Stage Discharge'!E$26:E$126,1),1))/(INDEX('Step 4 Stage Discharge'!E$26:F$126,MATCH(F502,'Step 4 Stage Discharge'!E$26:E$126,1)+1,1)-INDEX('Step 4 Stage Discharge'!E$26:F$126,MATCH(F502,'Step 4 Stage Discharge'!E$26:E$126,1),1))</f>
        <v>0</v>
      </c>
      <c r="H502" s="149"/>
      <c r="I502" s="149">
        <f>INDEX('Step 4 Stage Discharge'!E$26:M$126,MATCH(F502,'Step 4 Stage Discharge'!E$26:E$126,1),9)+(INDEX('Step 4 Stage Discharge'!E$26:M$126,MATCH('Step 5 Routing'!F502,'Step 4 Stage Discharge'!E$26:E$126,1)+1,9)-INDEX('Step 4 Stage Discharge'!E$26:M$126,MATCH('Step 5 Routing'!F502,'Step 4 Stage Discharge'!E$26:E$126,1),9))*('Step 5 Routing'!F502-INDEX('Step 4 Stage Discharge'!E$26:M$126,MATCH('Step 5 Routing'!F502,'Step 4 Stage Discharge'!E$26:E$126,1),1))/(INDEX('Step 4 Stage Discharge'!E$26:M$126,MATCH('Step 5 Routing'!F502,'Step 4 Stage Discharge'!E$26:E$126,1)+1,1)-INDEX('Step 4 Stage Discharge'!E$26:M$126,MATCH('Step 5 Routing'!F502,'Step 4 Stage Discharge'!E$26:E$126,1),1))</f>
        <v>4.3639431710317386E-3</v>
      </c>
      <c r="J502" s="149"/>
      <c r="K502" s="6">
        <f t="shared" si="36"/>
        <v>0</v>
      </c>
      <c r="L502" s="6">
        <f t="shared" si="37"/>
        <v>0</v>
      </c>
    </row>
    <row r="503" spans="1:12">
      <c r="A503">
        <f t="shared" si="38"/>
        <v>490</v>
      </c>
      <c r="B503" s="136">
        <f>IF(C$5=Data!D$3,'Step 2 Inflow Hydrograph'!H547,IF(C$5=Data!D$4,'Step 2 Inflow Hydrograph'!I547,IF(C$5=Data!D$5,'Step 2 Inflow Hydrograph'!J547,'Step 2 Inflow Hydrograph'!K547)))</f>
        <v>0</v>
      </c>
      <c r="C503" s="127"/>
      <c r="D503" s="6">
        <f t="shared" si="35"/>
        <v>0</v>
      </c>
      <c r="E503" s="6"/>
      <c r="F503" s="6">
        <f t="shared" si="39"/>
        <v>0</v>
      </c>
      <c r="G503" s="149">
        <f>INDEX('Step 4 Stage Discharge'!E$26:F$126,MATCH(F503,'Step 4 Stage Discharge'!E$26:E$126,1),2)+(INDEX('Step 4 Stage Discharge'!E$26:F$126,MATCH(F503,'Step 4 Stage Discharge'!E$26:E$126,1)+1,2)-INDEX('Step 4 Stage Discharge'!E$26:F$126,MATCH(F503,'Step 4 Stage Discharge'!E$26:E$126,1),2))*(F503-INDEX('Step 4 Stage Discharge'!E$26:F$126,MATCH(F503,'Step 4 Stage Discharge'!E$26:E$126,1),1))/(INDEX('Step 4 Stage Discharge'!E$26:F$126,MATCH(F503,'Step 4 Stage Discharge'!E$26:E$126,1)+1,1)-INDEX('Step 4 Stage Discharge'!E$26:F$126,MATCH(F503,'Step 4 Stage Discharge'!E$26:E$126,1),1))</f>
        <v>0</v>
      </c>
      <c r="H503" s="149"/>
      <c r="I503" s="149">
        <f>INDEX('Step 4 Stage Discharge'!E$26:M$126,MATCH(F503,'Step 4 Stage Discharge'!E$26:E$126,1),9)+(INDEX('Step 4 Stage Discharge'!E$26:M$126,MATCH('Step 5 Routing'!F503,'Step 4 Stage Discharge'!E$26:E$126,1)+1,9)-INDEX('Step 4 Stage Discharge'!E$26:M$126,MATCH('Step 5 Routing'!F503,'Step 4 Stage Discharge'!E$26:E$126,1),9))*('Step 5 Routing'!F503-INDEX('Step 4 Stage Discharge'!E$26:M$126,MATCH('Step 5 Routing'!F503,'Step 4 Stage Discharge'!E$26:E$126,1),1))/(INDEX('Step 4 Stage Discharge'!E$26:M$126,MATCH('Step 5 Routing'!F503,'Step 4 Stage Discharge'!E$26:E$126,1)+1,1)-INDEX('Step 4 Stage Discharge'!E$26:M$126,MATCH('Step 5 Routing'!F503,'Step 4 Stage Discharge'!E$26:E$126,1),1))</f>
        <v>4.3639431710317386E-3</v>
      </c>
      <c r="J503" s="149"/>
      <c r="K503" s="6">
        <f t="shared" si="36"/>
        <v>0</v>
      </c>
      <c r="L503" s="6">
        <f t="shared" si="37"/>
        <v>0</v>
      </c>
    </row>
    <row r="504" spans="1:12">
      <c r="A504">
        <f t="shared" si="38"/>
        <v>491</v>
      </c>
      <c r="B504" s="136">
        <f>IF(C$5=Data!D$3,'Step 2 Inflow Hydrograph'!H548,IF(C$5=Data!D$4,'Step 2 Inflow Hydrograph'!I548,IF(C$5=Data!D$5,'Step 2 Inflow Hydrograph'!J548,'Step 2 Inflow Hydrograph'!K548)))</f>
        <v>0</v>
      </c>
      <c r="C504" s="127"/>
      <c r="D504" s="6">
        <f t="shared" si="35"/>
        <v>0</v>
      </c>
      <c r="E504" s="6"/>
      <c r="F504" s="6">
        <f t="shared" si="39"/>
        <v>0</v>
      </c>
      <c r="G504" s="149">
        <f>INDEX('Step 4 Stage Discharge'!E$26:F$126,MATCH(F504,'Step 4 Stage Discharge'!E$26:E$126,1),2)+(INDEX('Step 4 Stage Discharge'!E$26:F$126,MATCH(F504,'Step 4 Stage Discharge'!E$26:E$126,1)+1,2)-INDEX('Step 4 Stage Discharge'!E$26:F$126,MATCH(F504,'Step 4 Stage Discharge'!E$26:E$126,1),2))*(F504-INDEX('Step 4 Stage Discharge'!E$26:F$126,MATCH(F504,'Step 4 Stage Discharge'!E$26:E$126,1),1))/(INDEX('Step 4 Stage Discharge'!E$26:F$126,MATCH(F504,'Step 4 Stage Discharge'!E$26:E$126,1)+1,1)-INDEX('Step 4 Stage Discharge'!E$26:F$126,MATCH(F504,'Step 4 Stage Discharge'!E$26:E$126,1),1))</f>
        <v>0</v>
      </c>
      <c r="H504" s="149"/>
      <c r="I504" s="149">
        <f>INDEX('Step 4 Stage Discharge'!E$26:M$126,MATCH(F504,'Step 4 Stage Discharge'!E$26:E$126,1),9)+(INDEX('Step 4 Stage Discharge'!E$26:M$126,MATCH('Step 5 Routing'!F504,'Step 4 Stage Discharge'!E$26:E$126,1)+1,9)-INDEX('Step 4 Stage Discharge'!E$26:M$126,MATCH('Step 5 Routing'!F504,'Step 4 Stage Discharge'!E$26:E$126,1),9))*('Step 5 Routing'!F504-INDEX('Step 4 Stage Discharge'!E$26:M$126,MATCH('Step 5 Routing'!F504,'Step 4 Stage Discharge'!E$26:E$126,1),1))/(INDEX('Step 4 Stage Discharge'!E$26:M$126,MATCH('Step 5 Routing'!F504,'Step 4 Stage Discharge'!E$26:E$126,1)+1,1)-INDEX('Step 4 Stage Discharge'!E$26:M$126,MATCH('Step 5 Routing'!F504,'Step 4 Stage Discharge'!E$26:E$126,1),1))</f>
        <v>4.3639431710317386E-3</v>
      </c>
      <c r="J504" s="149"/>
      <c r="K504" s="6">
        <f t="shared" si="36"/>
        <v>0</v>
      </c>
      <c r="L504" s="6">
        <f t="shared" si="37"/>
        <v>0</v>
      </c>
    </row>
    <row r="505" spans="1:12">
      <c r="A505">
        <f t="shared" si="38"/>
        <v>492</v>
      </c>
      <c r="B505" s="136">
        <f>IF(C$5=Data!D$3,'Step 2 Inflow Hydrograph'!H549,IF(C$5=Data!D$4,'Step 2 Inflow Hydrograph'!I549,IF(C$5=Data!D$5,'Step 2 Inflow Hydrograph'!J549,'Step 2 Inflow Hydrograph'!K549)))</f>
        <v>0</v>
      </c>
      <c r="C505" s="127"/>
      <c r="D505" s="6">
        <f t="shared" si="35"/>
        <v>0</v>
      </c>
      <c r="E505" s="6"/>
      <c r="F505" s="6">
        <f t="shared" si="39"/>
        <v>0</v>
      </c>
      <c r="G505" s="149">
        <f>INDEX('Step 4 Stage Discharge'!E$26:F$126,MATCH(F505,'Step 4 Stage Discharge'!E$26:E$126,1),2)+(INDEX('Step 4 Stage Discharge'!E$26:F$126,MATCH(F505,'Step 4 Stage Discharge'!E$26:E$126,1)+1,2)-INDEX('Step 4 Stage Discharge'!E$26:F$126,MATCH(F505,'Step 4 Stage Discharge'!E$26:E$126,1),2))*(F505-INDEX('Step 4 Stage Discharge'!E$26:F$126,MATCH(F505,'Step 4 Stage Discharge'!E$26:E$126,1),1))/(INDEX('Step 4 Stage Discharge'!E$26:F$126,MATCH(F505,'Step 4 Stage Discharge'!E$26:E$126,1)+1,1)-INDEX('Step 4 Stage Discharge'!E$26:F$126,MATCH(F505,'Step 4 Stage Discharge'!E$26:E$126,1),1))</f>
        <v>0</v>
      </c>
      <c r="H505" s="149"/>
      <c r="I505" s="149">
        <f>INDEX('Step 4 Stage Discharge'!E$26:M$126,MATCH(F505,'Step 4 Stage Discharge'!E$26:E$126,1),9)+(INDEX('Step 4 Stage Discharge'!E$26:M$126,MATCH('Step 5 Routing'!F505,'Step 4 Stage Discharge'!E$26:E$126,1)+1,9)-INDEX('Step 4 Stage Discharge'!E$26:M$126,MATCH('Step 5 Routing'!F505,'Step 4 Stage Discharge'!E$26:E$126,1),9))*('Step 5 Routing'!F505-INDEX('Step 4 Stage Discharge'!E$26:M$126,MATCH('Step 5 Routing'!F505,'Step 4 Stage Discharge'!E$26:E$126,1),1))/(INDEX('Step 4 Stage Discharge'!E$26:M$126,MATCH('Step 5 Routing'!F505,'Step 4 Stage Discharge'!E$26:E$126,1)+1,1)-INDEX('Step 4 Stage Discharge'!E$26:M$126,MATCH('Step 5 Routing'!F505,'Step 4 Stage Discharge'!E$26:E$126,1),1))</f>
        <v>4.3639431710317386E-3</v>
      </c>
      <c r="J505" s="149"/>
      <c r="K505" s="6">
        <f t="shared" si="36"/>
        <v>0</v>
      </c>
      <c r="L505" s="6">
        <f t="shared" si="37"/>
        <v>0</v>
      </c>
    </row>
    <row r="506" spans="1:12">
      <c r="A506">
        <f t="shared" si="38"/>
        <v>493</v>
      </c>
      <c r="B506" s="136">
        <f>IF(C$5=Data!D$3,'Step 2 Inflow Hydrograph'!H550,IF(C$5=Data!D$4,'Step 2 Inflow Hydrograph'!I550,IF(C$5=Data!D$5,'Step 2 Inflow Hydrograph'!J550,'Step 2 Inflow Hydrograph'!K550)))</f>
        <v>0</v>
      </c>
      <c r="C506" s="127"/>
      <c r="D506" s="6">
        <f t="shared" si="35"/>
        <v>0</v>
      </c>
      <c r="E506" s="6"/>
      <c r="F506" s="6">
        <f t="shared" si="39"/>
        <v>0</v>
      </c>
      <c r="G506" s="149">
        <f>INDEX('Step 4 Stage Discharge'!E$26:F$126,MATCH(F506,'Step 4 Stage Discharge'!E$26:E$126,1),2)+(INDEX('Step 4 Stage Discharge'!E$26:F$126,MATCH(F506,'Step 4 Stage Discharge'!E$26:E$126,1)+1,2)-INDEX('Step 4 Stage Discharge'!E$26:F$126,MATCH(F506,'Step 4 Stage Discharge'!E$26:E$126,1),2))*(F506-INDEX('Step 4 Stage Discharge'!E$26:F$126,MATCH(F506,'Step 4 Stage Discharge'!E$26:E$126,1),1))/(INDEX('Step 4 Stage Discharge'!E$26:F$126,MATCH(F506,'Step 4 Stage Discharge'!E$26:E$126,1)+1,1)-INDEX('Step 4 Stage Discharge'!E$26:F$126,MATCH(F506,'Step 4 Stage Discharge'!E$26:E$126,1),1))</f>
        <v>0</v>
      </c>
      <c r="H506" s="149"/>
      <c r="I506" s="149">
        <f>INDEX('Step 4 Stage Discharge'!E$26:M$126,MATCH(F506,'Step 4 Stage Discharge'!E$26:E$126,1),9)+(INDEX('Step 4 Stage Discharge'!E$26:M$126,MATCH('Step 5 Routing'!F506,'Step 4 Stage Discharge'!E$26:E$126,1)+1,9)-INDEX('Step 4 Stage Discharge'!E$26:M$126,MATCH('Step 5 Routing'!F506,'Step 4 Stage Discharge'!E$26:E$126,1),9))*('Step 5 Routing'!F506-INDEX('Step 4 Stage Discharge'!E$26:M$126,MATCH('Step 5 Routing'!F506,'Step 4 Stage Discharge'!E$26:E$126,1),1))/(INDEX('Step 4 Stage Discharge'!E$26:M$126,MATCH('Step 5 Routing'!F506,'Step 4 Stage Discharge'!E$26:E$126,1)+1,1)-INDEX('Step 4 Stage Discharge'!E$26:M$126,MATCH('Step 5 Routing'!F506,'Step 4 Stage Discharge'!E$26:E$126,1),1))</f>
        <v>4.3639431710317386E-3</v>
      </c>
      <c r="J506" s="149"/>
      <c r="K506" s="6">
        <f t="shared" si="36"/>
        <v>0</v>
      </c>
      <c r="L506" s="6">
        <f t="shared" si="37"/>
        <v>0</v>
      </c>
    </row>
    <row r="507" spans="1:12">
      <c r="A507">
        <f t="shared" si="38"/>
        <v>494</v>
      </c>
      <c r="B507" s="136">
        <f>IF(C$5=Data!D$3,'Step 2 Inflow Hydrograph'!H551,IF(C$5=Data!D$4,'Step 2 Inflow Hydrograph'!I551,IF(C$5=Data!D$5,'Step 2 Inflow Hydrograph'!J551,'Step 2 Inflow Hydrograph'!K551)))</f>
        <v>0</v>
      </c>
      <c r="C507" s="127"/>
      <c r="D507" s="6">
        <f t="shared" si="35"/>
        <v>0</v>
      </c>
      <c r="E507" s="6"/>
      <c r="F507" s="6">
        <f t="shared" si="39"/>
        <v>0</v>
      </c>
      <c r="G507" s="149">
        <f>INDEX('Step 4 Stage Discharge'!E$26:F$126,MATCH(F507,'Step 4 Stage Discharge'!E$26:E$126,1),2)+(INDEX('Step 4 Stage Discharge'!E$26:F$126,MATCH(F507,'Step 4 Stage Discharge'!E$26:E$126,1)+1,2)-INDEX('Step 4 Stage Discharge'!E$26:F$126,MATCH(F507,'Step 4 Stage Discharge'!E$26:E$126,1),2))*(F507-INDEX('Step 4 Stage Discharge'!E$26:F$126,MATCH(F507,'Step 4 Stage Discharge'!E$26:E$126,1),1))/(INDEX('Step 4 Stage Discharge'!E$26:F$126,MATCH(F507,'Step 4 Stage Discharge'!E$26:E$126,1)+1,1)-INDEX('Step 4 Stage Discharge'!E$26:F$126,MATCH(F507,'Step 4 Stage Discharge'!E$26:E$126,1),1))</f>
        <v>0</v>
      </c>
      <c r="H507" s="149"/>
      <c r="I507" s="149">
        <f>INDEX('Step 4 Stage Discharge'!E$26:M$126,MATCH(F507,'Step 4 Stage Discharge'!E$26:E$126,1),9)+(INDEX('Step 4 Stage Discharge'!E$26:M$126,MATCH('Step 5 Routing'!F507,'Step 4 Stage Discharge'!E$26:E$126,1)+1,9)-INDEX('Step 4 Stage Discharge'!E$26:M$126,MATCH('Step 5 Routing'!F507,'Step 4 Stage Discharge'!E$26:E$126,1),9))*('Step 5 Routing'!F507-INDEX('Step 4 Stage Discharge'!E$26:M$126,MATCH('Step 5 Routing'!F507,'Step 4 Stage Discharge'!E$26:E$126,1),1))/(INDEX('Step 4 Stage Discharge'!E$26:M$126,MATCH('Step 5 Routing'!F507,'Step 4 Stage Discharge'!E$26:E$126,1)+1,1)-INDEX('Step 4 Stage Discharge'!E$26:M$126,MATCH('Step 5 Routing'!F507,'Step 4 Stage Discharge'!E$26:E$126,1),1))</f>
        <v>4.3639431710317386E-3</v>
      </c>
      <c r="J507" s="149"/>
      <c r="K507" s="6">
        <f t="shared" si="36"/>
        <v>0</v>
      </c>
      <c r="L507" s="6">
        <f t="shared" si="37"/>
        <v>0</v>
      </c>
    </row>
    <row r="508" spans="1:12">
      <c r="A508">
        <f t="shared" si="38"/>
        <v>495</v>
      </c>
      <c r="B508" s="136">
        <f>IF(C$5=Data!D$3,'Step 2 Inflow Hydrograph'!H552,IF(C$5=Data!D$4,'Step 2 Inflow Hydrograph'!I552,IF(C$5=Data!D$5,'Step 2 Inflow Hydrograph'!J552,'Step 2 Inflow Hydrograph'!K552)))</f>
        <v>0</v>
      </c>
      <c r="C508" s="127"/>
      <c r="D508" s="6">
        <f t="shared" si="35"/>
        <v>0</v>
      </c>
      <c r="E508" s="6"/>
      <c r="F508" s="6">
        <f t="shared" si="39"/>
        <v>0</v>
      </c>
      <c r="G508" s="149">
        <f>INDEX('Step 4 Stage Discharge'!E$26:F$126,MATCH(F508,'Step 4 Stage Discharge'!E$26:E$126,1),2)+(INDEX('Step 4 Stage Discharge'!E$26:F$126,MATCH(F508,'Step 4 Stage Discharge'!E$26:E$126,1)+1,2)-INDEX('Step 4 Stage Discharge'!E$26:F$126,MATCH(F508,'Step 4 Stage Discharge'!E$26:E$126,1),2))*(F508-INDEX('Step 4 Stage Discharge'!E$26:F$126,MATCH(F508,'Step 4 Stage Discharge'!E$26:E$126,1),1))/(INDEX('Step 4 Stage Discharge'!E$26:F$126,MATCH(F508,'Step 4 Stage Discharge'!E$26:E$126,1)+1,1)-INDEX('Step 4 Stage Discharge'!E$26:F$126,MATCH(F508,'Step 4 Stage Discharge'!E$26:E$126,1),1))</f>
        <v>0</v>
      </c>
      <c r="H508" s="149"/>
      <c r="I508" s="149">
        <f>INDEX('Step 4 Stage Discharge'!E$26:M$126,MATCH(F508,'Step 4 Stage Discharge'!E$26:E$126,1),9)+(INDEX('Step 4 Stage Discharge'!E$26:M$126,MATCH('Step 5 Routing'!F508,'Step 4 Stage Discharge'!E$26:E$126,1)+1,9)-INDEX('Step 4 Stage Discharge'!E$26:M$126,MATCH('Step 5 Routing'!F508,'Step 4 Stage Discharge'!E$26:E$126,1),9))*('Step 5 Routing'!F508-INDEX('Step 4 Stage Discharge'!E$26:M$126,MATCH('Step 5 Routing'!F508,'Step 4 Stage Discharge'!E$26:E$126,1),1))/(INDEX('Step 4 Stage Discharge'!E$26:M$126,MATCH('Step 5 Routing'!F508,'Step 4 Stage Discharge'!E$26:E$126,1)+1,1)-INDEX('Step 4 Stage Discharge'!E$26:M$126,MATCH('Step 5 Routing'!F508,'Step 4 Stage Discharge'!E$26:E$126,1),1))</f>
        <v>4.3639431710317386E-3</v>
      </c>
      <c r="J508" s="149"/>
      <c r="K508" s="6">
        <f t="shared" si="36"/>
        <v>0</v>
      </c>
      <c r="L508" s="6">
        <f t="shared" si="37"/>
        <v>0</v>
      </c>
    </row>
    <row r="509" spans="1:12">
      <c r="A509">
        <f t="shared" si="38"/>
        <v>496</v>
      </c>
      <c r="B509" s="136">
        <f>IF(C$5=Data!D$3,'Step 2 Inflow Hydrograph'!H553,IF(C$5=Data!D$4,'Step 2 Inflow Hydrograph'!I553,IF(C$5=Data!D$5,'Step 2 Inflow Hydrograph'!J553,'Step 2 Inflow Hydrograph'!K553)))</f>
        <v>0</v>
      </c>
      <c r="C509" s="127"/>
      <c r="D509" s="6">
        <f t="shared" si="35"/>
        <v>0</v>
      </c>
      <c r="E509" s="6"/>
      <c r="F509" s="6">
        <f t="shared" si="39"/>
        <v>0</v>
      </c>
      <c r="G509" s="149">
        <f>INDEX('Step 4 Stage Discharge'!E$26:F$126,MATCH(F509,'Step 4 Stage Discharge'!E$26:E$126,1),2)+(INDEX('Step 4 Stage Discharge'!E$26:F$126,MATCH(F509,'Step 4 Stage Discharge'!E$26:E$126,1)+1,2)-INDEX('Step 4 Stage Discharge'!E$26:F$126,MATCH(F509,'Step 4 Stage Discharge'!E$26:E$126,1),2))*(F509-INDEX('Step 4 Stage Discharge'!E$26:F$126,MATCH(F509,'Step 4 Stage Discharge'!E$26:E$126,1),1))/(INDEX('Step 4 Stage Discharge'!E$26:F$126,MATCH(F509,'Step 4 Stage Discharge'!E$26:E$126,1)+1,1)-INDEX('Step 4 Stage Discharge'!E$26:F$126,MATCH(F509,'Step 4 Stage Discharge'!E$26:E$126,1),1))</f>
        <v>0</v>
      </c>
      <c r="H509" s="149"/>
      <c r="I509" s="149">
        <f>INDEX('Step 4 Stage Discharge'!E$26:M$126,MATCH(F509,'Step 4 Stage Discharge'!E$26:E$126,1),9)+(INDEX('Step 4 Stage Discharge'!E$26:M$126,MATCH('Step 5 Routing'!F509,'Step 4 Stage Discharge'!E$26:E$126,1)+1,9)-INDEX('Step 4 Stage Discharge'!E$26:M$126,MATCH('Step 5 Routing'!F509,'Step 4 Stage Discharge'!E$26:E$126,1),9))*('Step 5 Routing'!F509-INDEX('Step 4 Stage Discharge'!E$26:M$126,MATCH('Step 5 Routing'!F509,'Step 4 Stage Discharge'!E$26:E$126,1),1))/(INDEX('Step 4 Stage Discharge'!E$26:M$126,MATCH('Step 5 Routing'!F509,'Step 4 Stage Discharge'!E$26:E$126,1)+1,1)-INDEX('Step 4 Stage Discharge'!E$26:M$126,MATCH('Step 5 Routing'!F509,'Step 4 Stage Discharge'!E$26:E$126,1),1))</f>
        <v>4.3639431710317386E-3</v>
      </c>
      <c r="J509" s="149"/>
      <c r="K509" s="6">
        <f t="shared" si="36"/>
        <v>0</v>
      </c>
      <c r="L509" s="6">
        <f t="shared" si="37"/>
        <v>0</v>
      </c>
    </row>
    <row r="510" spans="1:12">
      <c r="A510">
        <f t="shared" si="38"/>
        <v>497</v>
      </c>
      <c r="B510" s="136">
        <f>IF(C$5=Data!D$3,'Step 2 Inflow Hydrograph'!H554,IF(C$5=Data!D$4,'Step 2 Inflow Hydrograph'!I554,IF(C$5=Data!D$5,'Step 2 Inflow Hydrograph'!J554,'Step 2 Inflow Hydrograph'!K554)))</f>
        <v>0</v>
      </c>
      <c r="C510" s="127"/>
      <c r="D510" s="6">
        <f t="shared" si="35"/>
        <v>0</v>
      </c>
      <c r="E510" s="6"/>
      <c r="F510" s="6">
        <f t="shared" si="39"/>
        <v>0</v>
      </c>
      <c r="G510" s="149">
        <f>INDEX('Step 4 Stage Discharge'!E$26:F$126,MATCH(F510,'Step 4 Stage Discharge'!E$26:E$126,1),2)+(INDEX('Step 4 Stage Discharge'!E$26:F$126,MATCH(F510,'Step 4 Stage Discharge'!E$26:E$126,1)+1,2)-INDEX('Step 4 Stage Discharge'!E$26:F$126,MATCH(F510,'Step 4 Stage Discharge'!E$26:E$126,1),2))*(F510-INDEX('Step 4 Stage Discharge'!E$26:F$126,MATCH(F510,'Step 4 Stage Discharge'!E$26:E$126,1),1))/(INDEX('Step 4 Stage Discharge'!E$26:F$126,MATCH(F510,'Step 4 Stage Discharge'!E$26:E$126,1)+1,1)-INDEX('Step 4 Stage Discharge'!E$26:F$126,MATCH(F510,'Step 4 Stage Discharge'!E$26:E$126,1),1))</f>
        <v>0</v>
      </c>
      <c r="H510" s="149"/>
      <c r="I510" s="149">
        <f>INDEX('Step 4 Stage Discharge'!E$26:M$126,MATCH(F510,'Step 4 Stage Discharge'!E$26:E$126,1),9)+(INDEX('Step 4 Stage Discharge'!E$26:M$126,MATCH('Step 5 Routing'!F510,'Step 4 Stage Discharge'!E$26:E$126,1)+1,9)-INDEX('Step 4 Stage Discharge'!E$26:M$126,MATCH('Step 5 Routing'!F510,'Step 4 Stage Discharge'!E$26:E$126,1),9))*('Step 5 Routing'!F510-INDEX('Step 4 Stage Discharge'!E$26:M$126,MATCH('Step 5 Routing'!F510,'Step 4 Stage Discharge'!E$26:E$126,1),1))/(INDEX('Step 4 Stage Discharge'!E$26:M$126,MATCH('Step 5 Routing'!F510,'Step 4 Stage Discharge'!E$26:E$126,1)+1,1)-INDEX('Step 4 Stage Discharge'!E$26:M$126,MATCH('Step 5 Routing'!F510,'Step 4 Stage Discharge'!E$26:E$126,1),1))</f>
        <v>4.3639431710317386E-3</v>
      </c>
      <c r="J510" s="149"/>
      <c r="K510" s="6">
        <f t="shared" si="36"/>
        <v>0</v>
      </c>
      <c r="L510" s="6">
        <f t="shared" si="37"/>
        <v>0</v>
      </c>
    </row>
    <row r="511" spans="1:12">
      <c r="A511">
        <f t="shared" si="38"/>
        <v>498</v>
      </c>
      <c r="B511" s="136">
        <f>IF(C$5=Data!D$3,'Step 2 Inflow Hydrograph'!H555,IF(C$5=Data!D$4,'Step 2 Inflow Hydrograph'!I555,IF(C$5=Data!D$5,'Step 2 Inflow Hydrograph'!J555,'Step 2 Inflow Hydrograph'!K555)))</f>
        <v>0</v>
      </c>
      <c r="C511" s="127"/>
      <c r="D511" s="6">
        <f t="shared" si="35"/>
        <v>0</v>
      </c>
      <c r="E511" s="6"/>
      <c r="F511" s="6">
        <f t="shared" si="39"/>
        <v>0</v>
      </c>
      <c r="G511" s="149">
        <f>INDEX('Step 4 Stage Discharge'!E$26:F$126,MATCH(F511,'Step 4 Stage Discharge'!E$26:E$126,1),2)+(INDEX('Step 4 Stage Discharge'!E$26:F$126,MATCH(F511,'Step 4 Stage Discharge'!E$26:E$126,1)+1,2)-INDEX('Step 4 Stage Discharge'!E$26:F$126,MATCH(F511,'Step 4 Stage Discharge'!E$26:E$126,1),2))*(F511-INDEX('Step 4 Stage Discharge'!E$26:F$126,MATCH(F511,'Step 4 Stage Discharge'!E$26:E$126,1),1))/(INDEX('Step 4 Stage Discharge'!E$26:F$126,MATCH(F511,'Step 4 Stage Discharge'!E$26:E$126,1)+1,1)-INDEX('Step 4 Stage Discharge'!E$26:F$126,MATCH(F511,'Step 4 Stage Discharge'!E$26:E$126,1),1))</f>
        <v>0</v>
      </c>
      <c r="H511" s="149"/>
      <c r="I511" s="149">
        <f>INDEX('Step 4 Stage Discharge'!E$26:M$126,MATCH(F511,'Step 4 Stage Discharge'!E$26:E$126,1),9)+(INDEX('Step 4 Stage Discharge'!E$26:M$126,MATCH('Step 5 Routing'!F511,'Step 4 Stage Discharge'!E$26:E$126,1)+1,9)-INDEX('Step 4 Stage Discharge'!E$26:M$126,MATCH('Step 5 Routing'!F511,'Step 4 Stage Discharge'!E$26:E$126,1),9))*('Step 5 Routing'!F511-INDEX('Step 4 Stage Discharge'!E$26:M$126,MATCH('Step 5 Routing'!F511,'Step 4 Stage Discharge'!E$26:E$126,1),1))/(INDEX('Step 4 Stage Discharge'!E$26:M$126,MATCH('Step 5 Routing'!F511,'Step 4 Stage Discharge'!E$26:E$126,1)+1,1)-INDEX('Step 4 Stage Discharge'!E$26:M$126,MATCH('Step 5 Routing'!F511,'Step 4 Stage Discharge'!E$26:E$126,1),1))</f>
        <v>4.3639431710317386E-3</v>
      </c>
      <c r="J511" s="149"/>
      <c r="K511" s="6">
        <f t="shared" si="36"/>
        <v>0</v>
      </c>
      <c r="L511" s="6">
        <f t="shared" si="37"/>
        <v>0</v>
      </c>
    </row>
    <row r="512" spans="1:12">
      <c r="A512">
        <f t="shared" si="38"/>
        <v>499</v>
      </c>
      <c r="B512" s="136">
        <f>IF(C$5=Data!D$3,'Step 2 Inflow Hydrograph'!H556,IF(C$5=Data!D$4,'Step 2 Inflow Hydrograph'!I556,IF(C$5=Data!D$5,'Step 2 Inflow Hydrograph'!J556,'Step 2 Inflow Hydrograph'!K556)))</f>
        <v>0</v>
      </c>
      <c r="C512" s="127"/>
      <c r="D512" s="6">
        <f t="shared" si="35"/>
        <v>0</v>
      </c>
      <c r="E512" s="6"/>
      <c r="F512" s="6">
        <f t="shared" si="39"/>
        <v>0</v>
      </c>
      <c r="G512" s="149">
        <f>INDEX('Step 4 Stage Discharge'!E$26:F$126,MATCH(F512,'Step 4 Stage Discharge'!E$26:E$126,1),2)+(INDEX('Step 4 Stage Discharge'!E$26:F$126,MATCH(F512,'Step 4 Stage Discharge'!E$26:E$126,1)+1,2)-INDEX('Step 4 Stage Discharge'!E$26:F$126,MATCH(F512,'Step 4 Stage Discharge'!E$26:E$126,1),2))*(F512-INDEX('Step 4 Stage Discharge'!E$26:F$126,MATCH(F512,'Step 4 Stage Discharge'!E$26:E$126,1),1))/(INDEX('Step 4 Stage Discharge'!E$26:F$126,MATCH(F512,'Step 4 Stage Discharge'!E$26:E$126,1)+1,1)-INDEX('Step 4 Stage Discharge'!E$26:F$126,MATCH(F512,'Step 4 Stage Discharge'!E$26:E$126,1),1))</f>
        <v>0</v>
      </c>
      <c r="H512" s="149"/>
      <c r="I512" s="149">
        <f>INDEX('Step 4 Stage Discharge'!E$26:M$126,MATCH(F512,'Step 4 Stage Discharge'!E$26:E$126,1),9)+(INDEX('Step 4 Stage Discharge'!E$26:M$126,MATCH('Step 5 Routing'!F512,'Step 4 Stage Discharge'!E$26:E$126,1)+1,9)-INDEX('Step 4 Stage Discharge'!E$26:M$126,MATCH('Step 5 Routing'!F512,'Step 4 Stage Discharge'!E$26:E$126,1),9))*('Step 5 Routing'!F512-INDEX('Step 4 Stage Discharge'!E$26:M$126,MATCH('Step 5 Routing'!F512,'Step 4 Stage Discharge'!E$26:E$126,1),1))/(INDEX('Step 4 Stage Discharge'!E$26:M$126,MATCH('Step 5 Routing'!F512,'Step 4 Stage Discharge'!E$26:E$126,1)+1,1)-INDEX('Step 4 Stage Discharge'!E$26:M$126,MATCH('Step 5 Routing'!F512,'Step 4 Stage Discharge'!E$26:E$126,1),1))</f>
        <v>4.3639431710317386E-3</v>
      </c>
      <c r="J512" s="149"/>
      <c r="K512" s="6">
        <f t="shared" si="36"/>
        <v>0</v>
      </c>
      <c r="L512" s="6">
        <f t="shared" si="37"/>
        <v>0</v>
      </c>
    </row>
    <row r="513" spans="1:12">
      <c r="A513">
        <f t="shared" si="38"/>
        <v>500</v>
      </c>
      <c r="B513" s="136">
        <f>IF(C$5=Data!D$3,'Step 2 Inflow Hydrograph'!H557,IF(C$5=Data!D$4,'Step 2 Inflow Hydrograph'!I557,IF(C$5=Data!D$5,'Step 2 Inflow Hydrograph'!J557,'Step 2 Inflow Hydrograph'!K557)))</f>
        <v>0</v>
      </c>
      <c r="C513" s="127"/>
      <c r="D513" s="6">
        <f t="shared" si="35"/>
        <v>0</v>
      </c>
      <c r="E513" s="6"/>
      <c r="F513" s="6">
        <f t="shared" si="39"/>
        <v>0</v>
      </c>
      <c r="G513" s="149">
        <f>INDEX('Step 4 Stage Discharge'!E$26:F$126,MATCH(F513,'Step 4 Stage Discharge'!E$26:E$126,1),2)+(INDEX('Step 4 Stage Discharge'!E$26:F$126,MATCH(F513,'Step 4 Stage Discharge'!E$26:E$126,1)+1,2)-INDEX('Step 4 Stage Discharge'!E$26:F$126,MATCH(F513,'Step 4 Stage Discharge'!E$26:E$126,1),2))*(F513-INDEX('Step 4 Stage Discharge'!E$26:F$126,MATCH(F513,'Step 4 Stage Discharge'!E$26:E$126,1),1))/(INDEX('Step 4 Stage Discharge'!E$26:F$126,MATCH(F513,'Step 4 Stage Discharge'!E$26:E$126,1)+1,1)-INDEX('Step 4 Stage Discharge'!E$26:F$126,MATCH(F513,'Step 4 Stage Discharge'!E$26:E$126,1),1))</f>
        <v>0</v>
      </c>
      <c r="H513" s="149"/>
      <c r="I513" s="149">
        <f>INDEX('Step 4 Stage Discharge'!E$26:M$126,MATCH(F513,'Step 4 Stage Discharge'!E$26:E$126,1),9)+(INDEX('Step 4 Stage Discharge'!E$26:M$126,MATCH('Step 5 Routing'!F513,'Step 4 Stage Discharge'!E$26:E$126,1)+1,9)-INDEX('Step 4 Stage Discharge'!E$26:M$126,MATCH('Step 5 Routing'!F513,'Step 4 Stage Discharge'!E$26:E$126,1),9))*('Step 5 Routing'!F513-INDEX('Step 4 Stage Discharge'!E$26:M$126,MATCH('Step 5 Routing'!F513,'Step 4 Stage Discharge'!E$26:E$126,1),1))/(INDEX('Step 4 Stage Discharge'!E$26:M$126,MATCH('Step 5 Routing'!F513,'Step 4 Stage Discharge'!E$26:E$126,1)+1,1)-INDEX('Step 4 Stage Discharge'!E$26:M$126,MATCH('Step 5 Routing'!F513,'Step 4 Stage Discharge'!E$26:E$126,1),1))</f>
        <v>4.3639431710317386E-3</v>
      </c>
      <c r="J513" s="149"/>
      <c r="K513" s="6">
        <f t="shared" si="36"/>
        <v>0</v>
      </c>
      <c r="L513" s="6">
        <f t="shared" si="37"/>
        <v>0</v>
      </c>
    </row>
    <row r="514" spans="1:12">
      <c r="A514">
        <f t="shared" si="38"/>
        <v>501</v>
      </c>
      <c r="B514" s="136">
        <f>IF(C$5=Data!D$3,'Step 2 Inflow Hydrograph'!H558,IF(C$5=Data!D$4,'Step 2 Inflow Hydrograph'!I558,IF(C$5=Data!D$5,'Step 2 Inflow Hydrograph'!J558,'Step 2 Inflow Hydrograph'!K558)))</f>
        <v>0</v>
      </c>
      <c r="C514" s="127"/>
      <c r="D514" s="6">
        <f t="shared" si="35"/>
        <v>0</v>
      </c>
      <c r="E514" s="6"/>
      <c r="F514" s="6">
        <f t="shared" si="39"/>
        <v>0</v>
      </c>
      <c r="G514" s="149">
        <f>INDEX('Step 4 Stage Discharge'!E$26:F$126,MATCH(F514,'Step 4 Stage Discharge'!E$26:E$126,1),2)+(INDEX('Step 4 Stage Discharge'!E$26:F$126,MATCH(F514,'Step 4 Stage Discharge'!E$26:E$126,1)+1,2)-INDEX('Step 4 Stage Discharge'!E$26:F$126,MATCH(F514,'Step 4 Stage Discharge'!E$26:E$126,1),2))*(F514-INDEX('Step 4 Stage Discharge'!E$26:F$126,MATCH(F514,'Step 4 Stage Discharge'!E$26:E$126,1),1))/(INDEX('Step 4 Stage Discharge'!E$26:F$126,MATCH(F514,'Step 4 Stage Discharge'!E$26:E$126,1)+1,1)-INDEX('Step 4 Stage Discharge'!E$26:F$126,MATCH(F514,'Step 4 Stage Discharge'!E$26:E$126,1),1))</f>
        <v>0</v>
      </c>
      <c r="H514" s="149"/>
      <c r="I514" s="149">
        <f>INDEX('Step 4 Stage Discharge'!E$26:M$126,MATCH(F514,'Step 4 Stage Discharge'!E$26:E$126,1),9)+(INDEX('Step 4 Stage Discharge'!E$26:M$126,MATCH('Step 5 Routing'!F514,'Step 4 Stage Discharge'!E$26:E$126,1)+1,9)-INDEX('Step 4 Stage Discharge'!E$26:M$126,MATCH('Step 5 Routing'!F514,'Step 4 Stage Discharge'!E$26:E$126,1),9))*('Step 5 Routing'!F514-INDEX('Step 4 Stage Discharge'!E$26:M$126,MATCH('Step 5 Routing'!F514,'Step 4 Stage Discharge'!E$26:E$126,1),1))/(INDEX('Step 4 Stage Discharge'!E$26:M$126,MATCH('Step 5 Routing'!F514,'Step 4 Stage Discharge'!E$26:E$126,1)+1,1)-INDEX('Step 4 Stage Discharge'!E$26:M$126,MATCH('Step 5 Routing'!F514,'Step 4 Stage Discharge'!E$26:E$126,1),1))</f>
        <v>4.3639431710317386E-3</v>
      </c>
      <c r="J514" s="149"/>
      <c r="K514" s="6">
        <f t="shared" si="36"/>
        <v>0</v>
      </c>
      <c r="L514" s="6">
        <f t="shared" si="37"/>
        <v>0</v>
      </c>
    </row>
    <row r="515" spans="1:12">
      <c r="A515">
        <f t="shared" si="38"/>
        <v>502</v>
      </c>
      <c r="B515" s="136">
        <f>IF(C$5=Data!D$3,'Step 2 Inflow Hydrograph'!H559,IF(C$5=Data!D$4,'Step 2 Inflow Hydrograph'!I559,IF(C$5=Data!D$5,'Step 2 Inflow Hydrograph'!J559,'Step 2 Inflow Hydrograph'!K559)))</f>
        <v>0</v>
      </c>
      <c r="C515" s="127"/>
      <c r="D515" s="6">
        <f t="shared" si="35"/>
        <v>0</v>
      </c>
      <c r="E515" s="6"/>
      <c r="F515" s="6">
        <f t="shared" si="39"/>
        <v>0</v>
      </c>
      <c r="G515" s="149">
        <f>INDEX('Step 4 Stage Discharge'!E$26:F$126,MATCH(F515,'Step 4 Stage Discharge'!E$26:E$126,1),2)+(INDEX('Step 4 Stage Discharge'!E$26:F$126,MATCH(F515,'Step 4 Stage Discharge'!E$26:E$126,1)+1,2)-INDEX('Step 4 Stage Discharge'!E$26:F$126,MATCH(F515,'Step 4 Stage Discharge'!E$26:E$126,1),2))*(F515-INDEX('Step 4 Stage Discharge'!E$26:F$126,MATCH(F515,'Step 4 Stage Discharge'!E$26:E$126,1),1))/(INDEX('Step 4 Stage Discharge'!E$26:F$126,MATCH(F515,'Step 4 Stage Discharge'!E$26:E$126,1)+1,1)-INDEX('Step 4 Stage Discharge'!E$26:F$126,MATCH(F515,'Step 4 Stage Discharge'!E$26:E$126,1),1))</f>
        <v>0</v>
      </c>
      <c r="H515" s="149"/>
      <c r="I515" s="149">
        <f>INDEX('Step 4 Stage Discharge'!E$26:M$126,MATCH(F515,'Step 4 Stage Discharge'!E$26:E$126,1),9)+(INDEX('Step 4 Stage Discharge'!E$26:M$126,MATCH('Step 5 Routing'!F515,'Step 4 Stage Discharge'!E$26:E$126,1)+1,9)-INDEX('Step 4 Stage Discharge'!E$26:M$126,MATCH('Step 5 Routing'!F515,'Step 4 Stage Discharge'!E$26:E$126,1),9))*('Step 5 Routing'!F515-INDEX('Step 4 Stage Discharge'!E$26:M$126,MATCH('Step 5 Routing'!F515,'Step 4 Stage Discharge'!E$26:E$126,1),1))/(INDEX('Step 4 Stage Discharge'!E$26:M$126,MATCH('Step 5 Routing'!F515,'Step 4 Stage Discharge'!E$26:E$126,1)+1,1)-INDEX('Step 4 Stage Discharge'!E$26:M$126,MATCH('Step 5 Routing'!F515,'Step 4 Stage Discharge'!E$26:E$126,1),1))</f>
        <v>4.3639431710317386E-3</v>
      </c>
      <c r="J515" s="149"/>
      <c r="K515" s="6">
        <f t="shared" si="36"/>
        <v>0</v>
      </c>
      <c r="L515" s="6">
        <f t="shared" si="37"/>
        <v>0</v>
      </c>
    </row>
    <row r="516" spans="1:12">
      <c r="A516">
        <f t="shared" si="38"/>
        <v>503</v>
      </c>
      <c r="B516" s="136">
        <f>IF(C$5=Data!D$3,'Step 2 Inflow Hydrograph'!H560,IF(C$5=Data!D$4,'Step 2 Inflow Hydrograph'!I560,IF(C$5=Data!D$5,'Step 2 Inflow Hydrograph'!J560,'Step 2 Inflow Hydrograph'!K560)))</f>
        <v>0</v>
      </c>
      <c r="C516" s="127"/>
      <c r="D516" s="6">
        <f t="shared" si="35"/>
        <v>0</v>
      </c>
      <c r="E516" s="6"/>
      <c r="F516" s="6">
        <f t="shared" si="39"/>
        <v>0</v>
      </c>
      <c r="G516" s="149">
        <f>INDEX('Step 4 Stage Discharge'!E$26:F$126,MATCH(F516,'Step 4 Stage Discharge'!E$26:E$126,1),2)+(INDEX('Step 4 Stage Discharge'!E$26:F$126,MATCH(F516,'Step 4 Stage Discharge'!E$26:E$126,1)+1,2)-INDEX('Step 4 Stage Discharge'!E$26:F$126,MATCH(F516,'Step 4 Stage Discharge'!E$26:E$126,1),2))*(F516-INDEX('Step 4 Stage Discharge'!E$26:F$126,MATCH(F516,'Step 4 Stage Discharge'!E$26:E$126,1),1))/(INDEX('Step 4 Stage Discharge'!E$26:F$126,MATCH(F516,'Step 4 Stage Discharge'!E$26:E$126,1)+1,1)-INDEX('Step 4 Stage Discharge'!E$26:F$126,MATCH(F516,'Step 4 Stage Discharge'!E$26:E$126,1),1))</f>
        <v>0</v>
      </c>
      <c r="H516" s="149"/>
      <c r="I516" s="149">
        <f>INDEX('Step 4 Stage Discharge'!E$26:M$126,MATCH(F516,'Step 4 Stage Discharge'!E$26:E$126,1),9)+(INDEX('Step 4 Stage Discharge'!E$26:M$126,MATCH('Step 5 Routing'!F516,'Step 4 Stage Discharge'!E$26:E$126,1)+1,9)-INDEX('Step 4 Stage Discharge'!E$26:M$126,MATCH('Step 5 Routing'!F516,'Step 4 Stage Discharge'!E$26:E$126,1),9))*('Step 5 Routing'!F516-INDEX('Step 4 Stage Discharge'!E$26:M$126,MATCH('Step 5 Routing'!F516,'Step 4 Stage Discharge'!E$26:E$126,1),1))/(INDEX('Step 4 Stage Discharge'!E$26:M$126,MATCH('Step 5 Routing'!F516,'Step 4 Stage Discharge'!E$26:E$126,1)+1,1)-INDEX('Step 4 Stage Discharge'!E$26:M$126,MATCH('Step 5 Routing'!F516,'Step 4 Stage Discharge'!E$26:E$126,1),1))</f>
        <v>4.3639431710317386E-3</v>
      </c>
      <c r="J516" s="149"/>
      <c r="K516" s="6">
        <f t="shared" si="36"/>
        <v>0</v>
      </c>
      <c r="L516" s="6">
        <f t="shared" si="37"/>
        <v>0</v>
      </c>
    </row>
    <row r="517" spans="1:12">
      <c r="A517">
        <f t="shared" si="38"/>
        <v>504</v>
      </c>
      <c r="B517" s="136">
        <f>IF(C$5=Data!D$3,'Step 2 Inflow Hydrograph'!H561,IF(C$5=Data!D$4,'Step 2 Inflow Hydrograph'!I561,IF(C$5=Data!D$5,'Step 2 Inflow Hydrograph'!J561,'Step 2 Inflow Hydrograph'!K561)))</f>
        <v>0</v>
      </c>
      <c r="C517" s="127"/>
      <c r="D517" s="6">
        <f t="shared" si="35"/>
        <v>0</v>
      </c>
      <c r="E517" s="6"/>
      <c r="F517" s="6">
        <f t="shared" si="39"/>
        <v>0</v>
      </c>
      <c r="G517" s="149">
        <f>INDEX('Step 4 Stage Discharge'!E$26:F$126,MATCH(F517,'Step 4 Stage Discharge'!E$26:E$126,1),2)+(INDEX('Step 4 Stage Discharge'!E$26:F$126,MATCH(F517,'Step 4 Stage Discharge'!E$26:E$126,1)+1,2)-INDEX('Step 4 Stage Discharge'!E$26:F$126,MATCH(F517,'Step 4 Stage Discharge'!E$26:E$126,1),2))*(F517-INDEX('Step 4 Stage Discharge'!E$26:F$126,MATCH(F517,'Step 4 Stage Discharge'!E$26:E$126,1),1))/(INDEX('Step 4 Stage Discharge'!E$26:F$126,MATCH(F517,'Step 4 Stage Discharge'!E$26:E$126,1)+1,1)-INDEX('Step 4 Stage Discharge'!E$26:F$126,MATCH(F517,'Step 4 Stage Discharge'!E$26:E$126,1),1))</f>
        <v>0</v>
      </c>
      <c r="H517" s="149"/>
      <c r="I517" s="149">
        <f>INDEX('Step 4 Stage Discharge'!E$26:M$126,MATCH(F517,'Step 4 Stage Discharge'!E$26:E$126,1),9)+(INDEX('Step 4 Stage Discharge'!E$26:M$126,MATCH('Step 5 Routing'!F517,'Step 4 Stage Discharge'!E$26:E$126,1)+1,9)-INDEX('Step 4 Stage Discharge'!E$26:M$126,MATCH('Step 5 Routing'!F517,'Step 4 Stage Discharge'!E$26:E$126,1),9))*('Step 5 Routing'!F517-INDEX('Step 4 Stage Discharge'!E$26:M$126,MATCH('Step 5 Routing'!F517,'Step 4 Stage Discharge'!E$26:E$126,1),1))/(INDEX('Step 4 Stage Discharge'!E$26:M$126,MATCH('Step 5 Routing'!F517,'Step 4 Stage Discharge'!E$26:E$126,1)+1,1)-INDEX('Step 4 Stage Discharge'!E$26:M$126,MATCH('Step 5 Routing'!F517,'Step 4 Stage Discharge'!E$26:E$126,1),1))</f>
        <v>4.3639431710317386E-3</v>
      </c>
      <c r="J517" s="149"/>
      <c r="K517" s="6">
        <f t="shared" si="36"/>
        <v>0</v>
      </c>
      <c r="L517" s="6">
        <f t="shared" si="37"/>
        <v>0</v>
      </c>
    </row>
    <row r="518" spans="1:12">
      <c r="A518">
        <f t="shared" si="38"/>
        <v>505</v>
      </c>
      <c r="B518" s="136">
        <f>IF(C$5=Data!D$3,'Step 2 Inflow Hydrograph'!H562,IF(C$5=Data!D$4,'Step 2 Inflow Hydrograph'!I562,IF(C$5=Data!D$5,'Step 2 Inflow Hydrograph'!J562,'Step 2 Inflow Hydrograph'!K562)))</f>
        <v>0</v>
      </c>
      <c r="C518" s="127"/>
      <c r="D518" s="6">
        <f t="shared" si="35"/>
        <v>0</v>
      </c>
      <c r="E518" s="6"/>
      <c r="F518" s="6">
        <f t="shared" si="39"/>
        <v>0</v>
      </c>
      <c r="G518" s="149">
        <f>INDEX('Step 4 Stage Discharge'!E$26:F$126,MATCH(F518,'Step 4 Stage Discharge'!E$26:E$126,1),2)+(INDEX('Step 4 Stage Discharge'!E$26:F$126,MATCH(F518,'Step 4 Stage Discharge'!E$26:E$126,1)+1,2)-INDEX('Step 4 Stage Discharge'!E$26:F$126,MATCH(F518,'Step 4 Stage Discharge'!E$26:E$126,1),2))*(F518-INDEX('Step 4 Stage Discharge'!E$26:F$126,MATCH(F518,'Step 4 Stage Discharge'!E$26:E$126,1),1))/(INDEX('Step 4 Stage Discharge'!E$26:F$126,MATCH(F518,'Step 4 Stage Discharge'!E$26:E$126,1)+1,1)-INDEX('Step 4 Stage Discharge'!E$26:F$126,MATCH(F518,'Step 4 Stage Discharge'!E$26:E$126,1),1))</f>
        <v>0</v>
      </c>
      <c r="H518" s="149"/>
      <c r="I518" s="149">
        <f>INDEX('Step 4 Stage Discharge'!E$26:M$126,MATCH(F518,'Step 4 Stage Discharge'!E$26:E$126,1),9)+(INDEX('Step 4 Stage Discharge'!E$26:M$126,MATCH('Step 5 Routing'!F518,'Step 4 Stage Discharge'!E$26:E$126,1)+1,9)-INDEX('Step 4 Stage Discharge'!E$26:M$126,MATCH('Step 5 Routing'!F518,'Step 4 Stage Discharge'!E$26:E$126,1),9))*('Step 5 Routing'!F518-INDEX('Step 4 Stage Discharge'!E$26:M$126,MATCH('Step 5 Routing'!F518,'Step 4 Stage Discharge'!E$26:E$126,1),1))/(INDEX('Step 4 Stage Discharge'!E$26:M$126,MATCH('Step 5 Routing'!F518,'Step 4 Stage Discharge'!E$26:E$126,1)+1,1)-INDEX('Step 4 Stage Discharge'!E$26:M$126,MATCH('Step 5 Routing'!F518,'Step 4 Stage Discharge'!E$26:E$126,1),1))</f>
        <v>4.3639431710317386E-3</v>
      </c>
      <c r="J518" s="149"/>
      <c r="K518" s="6">
        <f t="shared" si="36"/>
        <v>0</v>
      </c>
      <c r="L518" s="6">
        <f t="shared" si="37"/>
        <v>0</v>
      </c>
    </row>
    <row r="519" spans="1:12">
      <c r="A519">
        <f t="shared" si="38"/>
        <v>506</v>
      </c>
      <c r="B519" s="136">
        <f>IF(C$5=Data!D$3,'Step 2 Inflow Hydrograph'!H563,IF(C$5=Data!D$4,'Step 2 Inflow Hydrograph'!I563,IF(C$5=Data!D$5,'Step 2 Inflow Hydrograph'!J563,'Step 2 Inflow Hydrograph'!K563)))</f>
        <v>0</v>
      </c>
      <c r="C519" s="127"/>
      <c r="D519" s="6">
        <f t="shared" si="35"/>
        <v>0</v>
      </c>
      <c r="E519" s="6"/>
      <c r="F519" s="6">
        <f t="shared" si="39"/>
        <v>0</v>
      </c>
      <c r="G519" s="149">
        <f>INDEX('Step 4 Stage Discharge'!E$26:F$126,MATCH(F519,'Step 4 Stage Discharge'!E$26:E$126,1),2)+(INDEX('Step 4 Stage Discharge'!E$26:F$126,MATCH(F519,'Step 4 Stage Discharge'!E$26:E$126,1)+1,2)-INDEX('Step 4 Stage Discharge'!E$26:F$126,MATCH(F519,'Step 4 Stage Discharge'!E$26:E$126,1),2))*(F519-INDEX('Step 4 Stage Discharge'!E$26:F$126,MATCH(F519,'Step 4 Stage Discharge'!E$26:E$126,1),1))/(INDEX('Step 4 Stage Discharge'!E$26:F$126,MATCH(F519,'Step 4 Stage Discharge'!E$26:E$126,1)+1,1)-INDEX('Step 4 Stage Discharge'!E$26:F$126,MATCH(F519,'Step 4 Stage Discharge'!E$26:E$126,1),1))</f>
        <v>0</v>
      </c>
      <c r="H519" s="149"/>
      <c r="I519" s="149">
        <f>INDEX('Step 4 Stage Discharge'!E$26:M$126,MATCH(F519,'Step 4 Stage Discharge'!E$26:E$126,1),9)+(INDEX('Step 4 Stage Discharge'!E$26:M$126,MATCH('Step 5 Routing'!F519,'Step 4 Stage Discharge'!E$26:E$126,1)+1,9)-INDEX('Step 4 Stage Discharge'!E$26:M$126,MATCH('Step 5 Routing'!F519,'Step 4 Stage Discharge'!E$26:E$126,1),9))*('Step 5 Routing'!F519-INDEX('Step 4 Stage Discharge'!E$26:M$126,MATCH('Step 5 Routing'!F519,'Step 4 Stage Discharge'!E$26:E$126,1),1))/(INDEX('Step 4 Stage Discharge'!E$26:M$126,MATCH('Step 5 Routing'!F519,'Step 4 Stage Discharge'!E$26:E$126,1)+1,1)-INDEX('Step 4 Stage Discharge'!E$26:M$126,MATCH('Step 5 Routing'!F519,'Step 4 Stage Discharge'!E$26:E$126,1),1))</f>
        <v>4.3639431710317386E-3</v>
      </c>
      <c r="J519" s="149"/>
      <c r="K519" s="6">
        <f t="shared" si="36"/>
        <v>0</v>
      </c>
      <c r="L519" s="6">
        <f t="shared" si="37"/>
        <v>0</v>
      </c>
    </row>
    <row r="520" spans="1:12">
      <c r="A520">
        <f t="shared" si="38"/>
        <v>507</v>
      </c>
      <c r="B520" s="136">
        <f>IF(C$5=Data!D$3,'Step 2 Inflow Hydrograph'!H564,IF(C$5=Data!D$4,'Step 2 Inflow Hydrograph'!I564,IF(C$5=Data!D$5,'Step 2 Inflow Hydrograph'!J564,'Step 2 Inflow Hydrograph'!K564)))</f>
        <v>0</v>
      </c>
      <c r="C520" s="127"/>
      <c r="D520" s="6">
        <f t="shared" si="35"/>
        <v>0</v>
      </c>
      <c r="E520" s="6"/>
      <c r="F520" s="6">
        <f t="shared" si="39"/>
        <v>0</v>
      </c>
      <c r="G520" s="149">
        <f>INDEX('Step 4 Stage Discharge'!E$26:F$126,MATCH(F520,'Step 4 Stage Discharge'!E$26:E$126,1),2)+(INDEX('Step 4 Stage Discharge'!E$26:F$126,MATCH(F520,'Step 4 Stage Discharge'!E$26:E$126,1)+1,2)-INDEX('Step 4 Stage Discharge'!E$26:F$126,MATCH(F520,'Step 4 Stage Discharge'!E$26:E$126,1),2))*(F520-INDEX('Step 4 Stage Discharge'!E$26:F$126,MATCH(F520,'Step 4 Stage Discharge'!E$26:E$126,1),1))/(INDEX('Step 4 Stage Discharge'!E$26:F$126,MATCH(F520,'Step 4 Stage Discharge'!E$26:E$126,1)+1,1)-INDEX('Step 4 Stage Discharge'!E$26:F$126,MATCH(F520,'Step 4 Stage Discharge'!E$26:E$126,1),1))</f>
        <v>0</v>
      </c>
      <c r="H520" s="149"/>
      <c r="I520" s="149">
        <f>INDEX('Step 4 Stage Discharge'!E$26:M$126,MATCH(F520,'Step 4 Stage Discharge'!E$26:E$126,1),9)+(INDEX('Step 4 Stage Discharge'!E$26:M$126,MATCH('Step 5 Routing'!F520,'Step 4 Stage Discharge'!E$26:E$126,1)+1,9)-INDEX('Step 4 Stage Discharge'!E$26:M$126,MATCH('Step 5 Routing'!F520,'Step 4 Stage Discharge'!E$26:E$126,1),9))*('Step 5 Routing'!F520-INDEX('Step 4 Stage Discharge'!E$26:M$126,MATCH('Step 5 Routing'!F520,'Step 4 Stage Discharge'!E$26:E$126,1),1))/(INDEX('Step 4 Stage Discharge'!E$26:M$126,MATCH('Step 5 Routing'!F520,'Step 4 Stage Discharge'!E$26:E$126,1)+1,1)-INDEX('Step 4 Stage Discharge'!E$26:M$126,MATCH('Step 5 Routing'!F520,'Step 4 Stage Discharge'!E$26:E$126,1),1))</f>
        <v>4.3639431710317386E-3</v>
      </c>
      <c r="J520" s="149"/>
      <c r="K520" s="6">
        <f t="shared" si="36"/>
        <v>0</v>
      </c>
      <c r="L520" s="6">
        <f t="shared" si="37"/>
        <v>0</v>
      </c>
    </row>
    <row r="521" spans="1:12">
      <c r="A521">
        <f t="shared" si="38"/>
        <v>508</v>
      </c>
      <c r="B521" s="136">
        <f>IF(C$5=Data!D$3,'Step 2 Inflow Hydrograph'!H565,IF(C$5=Data!D$4,'Step 2 Inflow Hydrograph'!I565,IF(C$5=Data!D$5,'Step 2 Inflow Hydrograph'!J565,'Step 2 Inflow Hydrograph'!K565)))</f>
        <v>0</v>
      </c>
      <c r="C521" s="127"/>
      <c r="D521" s="6">
        <f t="shared" si="35"/>
        <v>0</v>
      </c>
      <c r="E521" s="6"/>
      <c r="F521" s="6">
        <f t="shared" si="39"/>
        <v>0</v>
      </c>
      <c r="G521" s="149">
        <f>INDEX('Step 4 Stage Discharge'!E$26:F$126,MATCH(F521,'Step 4 Stage Discharge'!E$26:E$126,1),2)+(INDEX('Step 4 Stage Discharge'!E$26:F$126,MATCH(F521,'Step 4 Stage Discharge'!E$26:E$126,1)+1,2)-INDEX('Step 4 Stage Discharge'!E$26:F$126,MATCH(F521,'Step 4 Stage Discharge'!E$26:E$126,1),2))*(F521-INDEX('Step 4 Stage Discharge'!E$26:F$126,MATCH(F521,'Step 4 Stage Discharge'!E$26:E$126,1),1))/(INDEX('Step 4 Stage Discharge'!E$26:F$126,MATCH(F521,'Step 4 Stage Discharge'!E$26:E$126,1)+1,1)-INDEX('Step 4 Stage Discharge'!E$26:F$126,MATCH(F521,'Step 4 Stage Discharge'!E$26:E$126,1),1))</f>
        <v>0</v>
      </c>
      <c r="H521" s="149"/>
      <c r="I521" s="149">
        <f>INDEX('Step 4 Stage Discharge'!E$26:M$126,MATCH(F521,'Step 4 Stage Discharge'!E$26:E$126,1),9)+(INDEX('Step 4 Stage Discharge'!E$26:M$126,MATCH('Step 5 Routing'!F521,'Step 4 Stage Discharge'!E$26:E$126,1)+1,9)-INDEX('Step 4 Stage Discharge'!E$26:M$126,MATCH('Step 5 Routing'!F521,'Step 4 Stage Discharge'!E$26:E$126,1),9))*('Step 5 Routing'!F521-INDEX('Step 4 Stage Discharge'!E$26:M$126,MATCH('Step 5 Routing'!F521,'Step 4 Stage Discharge'!E$26:E$126,1),1))/(INDEX('Step 4 Stage Discharge'!E$26:M$126,MATCH('Step 5 Routing'!F521,'Step 4 Stage Discharge'!E$26:E$126,1)+1,1)-INDEX('Step 4 Stage Discharge'!E$26:M$126,MATCH('Step 5 Routing'!F521,'Step 4 Stage Discharge'!E$26:E$126,1),1))</f>
        <v>4.3639431710317386E-3</v>
      </c>
      <c r="J521" s="149"/>
      <c r="K521" s="6">
        <f t="shared" si="36"/>
        <v>0</v>
      </c>
      <c r="L521" s="6">
        <f t="shared" si="37"/>
        <v>0</v>
      </c>
    </row>
    <row r="522" spans="1:12">
      <c r="A522">
        <f t="shared" si="38"/>
        <v>509</v>
      </c>
      <c r="B522" s="136">
        <f>IF(C$5=Data!D$3,'Step 2 Inflow Hydrograph'!H566,IF(C$5=Data!D$4,'Step 2 Inflow Hydrograph'!I566,IF(C$5=Data!D$5,'Step 2 Inflow Hydrograph'!J566,'Step 2 Inflow Hydrograph'!K566)))</f>
        <v>0</v>
      </c>
      <c r="C522" s="127"/>
      <c r="D522" s="6">
        <f t="shared" si="35"/>
        <v>0</v>
      </c>
      <c r="E522" s="6"/>
      <c r="F522" s="6">
        <f t="shared" si="39"/>
        <v>0</v>
      </c>
      <c r="G522" s="149">
        <f>INDEX('Step 4 Stage Discharge'!E$26:F$126,MATCH(F522,'Step 4 Stage Discharge'!E$26:E$126,1),2)+(INDEX('Step 4 Stage Discharge'!E$26:F$126,MATCH(F522,'Step 4 Stage Discharge'!E$26:E$126,1)+1,2)-INDEX('Step 4 Stage Discharge'!E$26:F$126,MATCH(F522,'Step 4 Stage Discharge'!E$26:E$126,1),2))*(F522-INDEX('Step 4 Stage Discharge'!E$26:F$126,MATCH(F522,'Step 4 Stage Discharge'!E$26:E$126,1),1))/(INDEX('Step 4 Stage Discharge'!E$26:F$126,MATCH(F522,'Step 4 Stage Discharge'!E$26:E$126,1)+1,1)-INDEX('Step 4 Stage Discharge'!E$26:F$126,MATCH(F522,'Step 4 Stage Discharge'!E$26:E$126,1),1))</f>
        <v>0</v>
      </c>
      <c r="H522" s="149"/>
      <c r="I522" s="149">
        <f>INDEX('Step 4 Stage Discharge'!E$26:M$126,MATCH(F522,'Step 4 Stage Discharge'!E$26:E$126,1),9)+(INDEX('Step 4 Stage Discharge'!E$26:M$126,MATCH('Step 5 Routing'!F522,'Step 4 Stage Discharge'!E$26:E$126,1)+1,9)-INDEX('Step 4 Stage Discharge'!E$26:M$126,MATCH('Step 5 Routing'!F522,'Step 4 Stage Discharge'!E$26:E$126,1),9))*('Step 5 Routing'!F522-INDEX('Step 4 Stage Discharge'!E$26:M$126,MATCH('Step 5 Routing'!F522,'Step 4 Stage Discharge'!E$26:E$126,1),1))/(INDEX('Step 4 Stage Discharge'!E$26:M$126,MATCH('Step 5 Routing'!F522,'Step 4 Stage Discharge'!E$26:E$126,1)+1,1)-INDEX('Step 4 Stage Discharge'!E$26:M$126,MATCH('Step 5 Routing'!F522,'Step 4 Stage Discharge'!E$26:E$126,1),1))</f>
        <v>4.3639431710317386E-3</v>
      </c>
      <c r="J522" s="149"/>
      <c r="K522" s="6">
        <f t="shared" si="36"/>
        <v>0</v>
      </c>
      <c r="L522" s="6">
        <f t="shared" si="37"/>
        <v>0</v>
      </c>
    </row>
    <row r="523" spans="1:12">
      <c r="A523">
        <f t="shared" si="38"/>
        <v>510</v>
      </c>
      <c r="B523" s="136">
        <f>IF(C$5=Data!D$3,'Step 2 Inflow Hydrograph'!H567,IF(C$5=Data!D$4,'Step 2 Inflow Hydrograph'!I567,IF(C$5=Data!D$5,'Step 2 Inflow Hydrograph'!J567,'Step 2 Inflow Hydrograph'!K567)))</f>
        <v>0</v>
      </c>
      <c r="C523" s="127"/>
      <c r="D523" s="6">
        <f t="shared" si="35"/>
        <v>0</v>
      </c>
      <c r="E523" s="6"/>
      <c r="F523" s="6">
        <f t="shared" si="39"/>
        <v>0</v>
      </c>
      <c r="G523" s="149">
        <f>INDEX('Step 4 Stage Discharge'!E$26:F$126,MATCH(F523,'Step 4 Stage Discharge'!E$26:E$126,1),2)+(INDEX('Step 4 Stage Discharge'!E$26:F$126,MATCH(F523,'Step 4 Stage Discharge'!E$26:E$126,1)+1,2)-INDEX('Step 4 Stage Discharge'!E$26:F$126,MATCH(F523,'Step 4 Stage Discharge'!E$26:E$126,1),2))*(F523-INDEX('Step 4 Stage Discharge'!E$26:F$126,MATCH(F523,'Step 4 Stage Discharge'!E$26:E$126,1),1))/(INDEX('Step 4 Stage Discharge'!E$26:F$126,MATCH(F523,'Step 4 Stage Discharge'!E$26:E$126,1)+1,1)-INDEX('Step 4 Stage Discharge'!E$26:F$126,MATCH(F523,'Step 4 Stage Discharge'!E$26:E$126,1),1))</f>
        <v>0</v>
      </c>
      <c r="H523" s="149"/>
      <c r="I523" s="149">
        <f>INDEX('Step 4 Stage Discharge'!E$26:M$126,MATCH(F523,'Step 4 Stage Discharge'!E$26:E$126,1),9)+(INDEX('Step 4 Stage Discharge'!E$26:M$126,MATCH('Step 5 Routing'!F523,'Step 4 Stage Discharge'!E$26:E$126,1)+1,9)-INDEX('Step 4 Stage Discharge'!E$26:M$126,MATCH('Step 5 Routing'!F523,'Step 4 Stage Discharge'!E$26:E$126,1),9))*('Step 5 Routing'!F523-INDEX('Step 4 Stage Discharge'!E$26:M$126,MATCH('Step 5 Routing'!F523,'Step 4 Stage Discharge'!E$26:E$126,1),1))/(INDEX('Step 4 Stage Discharge'!E$26:M$126,MATCH('Step 5 Routing'!F523,'Step 4 Stage Discharge'!E$26:E$126,1)+1,1)-INDEX('Step 4 Stage Discharge'!E$26:M$126,MATCH('Step 5 Routing'!F523,'Step 4 Stage Discharge'!E$26:E$126,1),1))</f>
        <v>4.3639431710317386E-3</v>
      </c>
      <c r="J523" s="149"/>
      <c r="K523" s="6">
        <f t="shared" si="36"/>
        <v>0</v>
      </c>
      <c r="L523" s="6">
        <f t="shared" si="37"/>
        <v>0</v>
      </c>
    </row>
    <row r="524" spans="1:12">
      <c r="A524">
        <f t="shared" si="38"/>
        <v>511</v>
      </c>
      <c r="B524" s="136">
        <f>IF(C$5=Data!D$3,'Step 2 Inflow Hydrograph'!H568,IF(C$5=Data!D$4,'Step 2 Inflow Hydrograph'!I568,IF(C$5=Data!D$5,'Step 2 Inflow Hydrograph'!J568,'Step 2 Inflow Hydrograph'!K568)))</f>
        <v>0</v>
      </c>
      <c r="C524" s="127"/>
      <c r="D524" s="6">
        <f t="shared" si="35"/>
        <v>0</v>
      </c>
      <c r="E524" s="6"/>
      <c r="F524" s="6">
        <f t="shared" si="39"/>
        <v>0</v>
      </c>
      <c r="G524" s="149">
        <f>INDEX('Step 4 Stage Discharge'!E$26:F$126,MATCH(F524,'Step 4 Stage Discharge'!E$26:E$126,1),2)+(INDEX('Step 4 Stage Discharge'!E$26:F$126,MATCH(F524,'Step 4 Stage Discharge'!E$26:E$126,1)+1,2)-INDEX('Step 4 Stage Discharge'!E$26:F$126,MATCH(F524,'Step 4 Stage Discharge'!E$26:E$126,1),2))*(F524-INDEX('Step 4 Stage Discharge'!E$26:F$126,MATCH(F524,'Step 4 Stage Discharge'!E$26:E$126,1),1))/(INDEX('Step 4 Stage Discharge'!E$26:F$126,MATCH(F524,'Step 4 Stage Discharge'!E$26:E$126,1)+1,1)-INDEX('Step 4 Stage Discharge'!E$26:F$126,MATCH(F524,'Step 4 Stage Discharge'!E$26:E$126,1),1))</f>
        <v>0</v>
      </c>
      <c r="H524" s="149"/>
      <c r="I524" s="149">
        <f>INDEX('Step 4 Stage Discharge'!E$26:M$126,MATCH(F524,'Step 4 Stage Discharge'!E$26:E$126,1),9)+(INDEX('Step 4 Stage Discharge'!E$26:M$126,MATCH('Step 5 Routing'!F524,'Step 4 Stage Discharge'!E$26:E$126,1)+1,9)-INDEX('Step 4 Stage Discharge'!E$26:M$126,MATCH('Step 5 Routing'!F524,'Step 4 Stage Discharge'!E$26:E$126,1),9))*('Step 5 Routing'!F524-INDEX('Step 4 Stage Discharge'!E$26:M$126,MATCH('Step 5 Routing'!F524,'Step 4 Stage Discharge'!E$26:E$126,1),1))/(INDEX('Step 4 Stage Discharge'!E$26:M$126,MATCH('Step 5 Routing'!F524,'Step 4 Stage Discharge'!E$26:E$126,1)+1,1)-INDEX('Step 4 Stage Discharge'!E$26:M$126,MATCH('Step 5 Routing'!F524,'Step 4 Stage Discharge'!E$26:E$126,1),1))</f>
        <v>4.3639431710317386E-3</v>
      </c>
      <c r="J524" s="149"/>
      <c r="K524" s="6">
        <f t="shared" si="36"/>
        <v>0</v>
      </c>
      <c r="L524" s="6">
        <f t="shared" si="37"/>
        <v>0</v>
      </c>
    </row>
    <row r="525" spans="1:12">
      <c r="A525">
        <f t="shared" si="38"/>
        <v>512</v>
      </c>
      <c r="B525" s="136">
        <f>IF(C$5=Data!D$3,'Step 2 Inflow Hydrograph'!H569,IF(C$5=Data!D$4,'Step 2 Inflow Hydrograph'!I569,IF(C$5=Data!D$5,'Step 2 Inflow Hydrograph'!J569,'Step 2 Inflow Hydrograph'!K569)))</f>
        <v>0</v>
      </c>
      <c r="C525" s="127"/>
      <c r="D525" s="6">
        <f t="shared" ref="D525:D588" si="40">IF(B525="",0,B525*D$8*60)</f>
        <v>0</v>
      </c>
      <c r="E525" s="6"/>
      <c r="F525" s="6">
        <f t="shared" si="39"/>
        <v>0</v>
      </c>
      <c r="G525" s="149">
        <f>INDEX('Step 4 Stage Discharge'!E$26:F$126,MATCH(F525,'Step 4 Stage Discharge'!E$26:E$126,1),2)+(INDEX('Step 4 Stage Discharge'!E$26:F$126,MATCH(F525,'Step 4 Stage Discharge'!E$26:E$126,1)+1,2)-INDEX('Step 4 Stage Discharge'!E$26:F$126,MATCH(F525,'Step 4 Stage Discharge'!E$26:E$126,1),2))*(F525-INDEX('Step 4 Stage Discharge'!E$26:F$126,MATCH(F525,'Step 4 Stage Discharge'!E$26:E$126,1),1))/(INDEX('Step 4 Stage Discharge'!E$26:F$126,MATCH(F525,'Step 4 Stage Discharge'!E$26:E$126,1)+1,1)-INDEX('Step 4 Stage Discharge'!E$26:F$126,MATCH(F525,'Step 4 Stage Discharge'!E$26:E$126,1),1))</f>
        <v>0</v>
      </c>
      <c r="H525" s="149"/>
      <c r="I525" s="149">
        <f>INDEX('Step 4 Stage Discharge'!E$26:M$126,MATCH(F525,'Step 4 Stage Discharge'!E$26:E$126,1),9)+(INDEX('Step 4 Stage Discharge'!E$26:M$126,MATCH('Step 5 Routing'!F525,'Step 4 Stage Discharge'!E$26:E$126,1)+1,9)-INDEX('Step 4 Stage Discharge'!E$26:M$126,MATCH('Step 5 Routing'!F525,'Step 4 Stage Discharge'!E$26:E$126,1),9))*('Step 5 Routing'!F525-INDEX('Step 4 Stage Discharge'!E$26:M$126,MATCH('Step 5 Routing'!F525,'Step 4 Stage Discharge'!E$26:E$126,1),1))/(INDEX('Step 4 Stage Discharge'!E$26:M$126,MATCH('Step 5 Routing'!F525,'Step 4 Stage Discharge'!E$26:E$126,1)+1,1)-INDEX('Step 4 Stage Discharge'!E$26:M$126,MATCH('Step 5 Routing'!F525,'Step 4 Stage Discharge'!E$26:E$126,1),1))</f>
        <v>4.3639431710317386E-3</v>
      </c>
      <c r="J525" s="149"/>
      <c r="K525" s="6">
        <f t="shared" ref="K525:K588" si="41">IF(I525*60*D$8&gt;F525,F525,I525*60*D$8)</f>
        <v>0</v>
      </c>
      <c r="L525" s="6">
        <f t="shared" ref="L525:L588" si="42">IF(F525-K525&lt;0,0,F525-K525)</f>
        <v>0</v>
      </c>
    </row>
    <row r="526" spans="1:12">
      <c r="A526">
        <f t="shared" ref="A526:A589" si="43">+A525+D$8</f>
        <v>513</v>
      </c>
      <c r="B526" s="136">
        <f>IF(C$5=Data!D$3,'Step 2 Inflow Hydrograph'!H570,IF(C$5=Data!D$4,'Step 2 Inflow Hydrograph'!I570,IF(C$5=Data!D$5,'Step 2 Inflow Hydrograph'!J570,'Step 2 Inflow Hydrograph'!K570)))</f>
        <v>0</v>
      </c>
      <c r="C526" s="127"/>
      <c r="D526" s="6">
        <f t="shared" si="40"/>
        <v>0</v>
      </c>
      <c r="E526" s="6"/>
      <c r="F526" s="6">
        <f t="shared" ref="F526:F589" si="44">+L525+D526</f>
        <v>0</v>
      </c>
      <c r="G526" s="149">
        <f>INDEX('Step 4 Stage Discharge'!E$26:F$126,MATCH(F526,'Step 4 Stage Discharge'!E$26:E$126,1),2)+(INDEX('Step 4 Stage Discharge'!E$26:F$126,MATCH(F526,'Step 4 Stage Discharge'!E$26:E$126,1)+1,2)-INDEX('Step 4 Stage Discharge'!E$26:F$126,MATCH(F526,'Step 4 Stage Discharge'!E$26:E$126,1),2))*(F526-INDEX('Step 4 Stage Discharge'!E$26:F$126,MATCH(F526,'Step 4 Stage Discharge'!E$26:E$126,1),1))/(INDEX('Step 4 Stage Discharge'!E$26:F$126,MATCH(F526,'Step 4 Stage Discharge'!E$26:E$126,1)+1,1)-INDEX('Step 4 Stage Discharge'!E$26:F$126,MATCH(F526,'Step 4 Stage Discharge'!E$26:E$126,1),1))</f>
        <v>0</v>
      </c>
      <c r="H526" s="149"/>
      <c r="I526" s="149">
        <f>INDEX('Step 4 Stage Discharge'!E$26:M$126,MATCH(F526,'Step 4 Stage Discharge'!E$26:E$126,1),9)+(INDEX('Step 4 Stage Discharge'!E$26:M$126,MATCH('Step 5 Routing'!F526,'Step 4 Stage Discharge'!E$26:E$126,1)+1,9)-INDEX('Step 4 Stage Discharge'!E$26:M$126,MATCH('Step 5 Routing'!F526,'Step 4 Stage Discharge'!E$26:E$126,1),9))*('Step 5 Routing'!F526-INDEX('Step 4 Stage Discharge'!E$26:M$126,MATCH('Step 5 Routing'!F526,'Step 4 Stage Discharge'!E$26:E$126,1),1))/(INDEX('Step 4 Stage Discharge'!E$26:M$126,MATCH('Step 5 Routing'!F526,'Step 4 Stage Discharge'!E$26:E$126,1)+1,1)-INDEX('Step 4 Stage Discharge'!E$26:M$126,MATCH('Step 5 Routing'!F526,'Step 4 Stage Discharge'!E$26:E$126,1),1))</f>
        <v>4.3639431710317386E-3</v>
      </c>
      <c r="J526" s="149"/>
      <c r="K526" s="6">
        <f t="shared" si="41"/>
        <v>0</v>
      </c>
      <c r="L526" s="6">
        <f t="shared" si="42"/>
        <v>0</v>
      </c>
    </row>
    <row r="527" spans="1:12">
      <c r="A527">
        <f t="shared" si="43"/>
        <v>514</v>
      </c>
      <c r="B527" s="136">
        <f>IF(C$5=Data!D$3,'Step 2 Inflow Hydrograph'!H571,IF(C$5=Data!D$4,'Step 2 Inflow Hydrograph'!I571,IF(C$5=Data!D$5,'Step 2 Inflow Hydrograph'!J571,'Step 2 Inflow Hydrograph'!K571)))</f>
        <v>0</v>
      </c>
      <c r="C527" s="127"/>
      <c r="D527" s="6">
        <f t="shared" si="40"/>
        <v>0</v>
      </c>
      <c r="E527" s="6"/>
      <c r="F527" s="6">
        <f t="shared" si="44"/>
        <v>0</v>
      </c>
      <c r="G527" s="149">
        <f>INDEX('Step 4 Stage Discharge'!E$26:F$126,MATCH(F527,'Step 4 Stage Discharge'!E$26:E$126,1),2)+(INDEX('Step 4 Stage Discharge'!E$26:F$126,MATCH(F527,'Step 4 Stage Discharge'!E$26:E$126,1)+1,2)-INDEX('Step 4 Stage Discharge'!E$26:F$126,MATCH(F527,'Step 4 Stage Discharge'!E$26:E$126,1),2))*(F527-INDEX('Step 4 Stage Discharge'!E$26:F$126,MATCH(F527,'Step 4 Stage Discharge'!E$26:E$126,1),1))/(INDEX('Step 4 Stage Discharge'!E$26:F$126,MATCH(F527,'Step 4 Stage Discharge'!E$26:E$126,1)+1,1)-INDEX('Step 4 Stage Discharge'!E$26:F$126,MATCH(F527,'Step 4 Stage Discharge'!E$26:E$126,1),1))</f>
        <v>0</v>
      </c>
      <c r="H527" s="149"/>
      <c r="I527" s="149">
        <f>INDEX('Step 4 Stage Discharge'!E$26:M$126,MATCH(F527,'Step 4 Stage Discharge'!E$26:E$126,1),9)+(INDEX('Step 4 Stage Discharge'!E$26:M$126,MATCH('Step 5 Routing'!F527,'Step 4 Stage Discharge'!E$26:E$126,1)+1,9)-INDEX('Step 4 Stage Discharge'!E$26:M$126,MATCH('Step 5 Routing'!F527,'Step 4 Stage Discharge'!E$26:E$126,1),9))*('Step 5 Routing'!F527-INDEX('Step 4 Stage Discharge'!E$26:M$126,MATCH('Step 5 Routing'!F527,'Step 4 Stage Discharge'!E$26:E$126,1),1))/(INDEX('Step 4 Stage Discharge'!E$26:M$126,MATCH('Step 5 Routing'!F527,'Step 4 Stage Discharge'!E$26:E$126,1)+1,1)-INDEX('Step 4 Stage Discharge'!E$26:M$126,MATCH('Step 5 Routing'!F527,'Step 4 Stage Discharge'!E$26:E$126,1),1))</f>
        <v>4.3639431710317386E-3</v>
      </c>
      <c r="J527" s="149"/>
      <c r="K527" s="6">
        <f t="shared" si="41"/>
        <v>0</v>
      </c>
      <c r="L527" s="6">
        <f t="shared" si="42"/>
        <v>0</v>
      </c>
    </row>
    <row r="528" spans="1:12">
      <c r="A528">
        <f t="shared" si="43"/>
        <v>515</v>
      </c>
      <c r="B528" s="136">
        <f>IF(C$5=Data!D$3,'Step 2 Inflow Hydrograph'!H572,IF(C$5=Data!D$4,'Step 2 Inflow Hydrograph'!I572,IF(C$5=Data!D$5,'Step 2 Inflow Hydrograph'!J572,'Step 2 Inflow Hydrograph'!K572)))</f>
        <v>0</v>
      </c>
      <c r="C528" s="127"/>
      <c r="D528" s="6">
        <f t="shared" si="40"/>
        <v>0</v>
      </c>
      <c r="E528" s="6"/>
      <c r="F528" s="6">
        <f t="shared" si="44"/>
        <v>0</v>
      </c>
      <c r="G528" s="149">
        <f>INDEX('Step 4 Stage Discharge'!E$26:F$126,MATCH(F528,'Step 4 Stage Discharge'!E$26:E$126,1),2)+(INDEX('Step 4 Stage Discharge'!E$26:F$126,MATCH(F528,'Step 4 Stage Discharge'!E$26:E$126,1)+1,2)-INDEX('Step 4 Stage Discharge'!E$26:F$126,MATCH(F528,'Step 4 Stage Discharge'!E$26:E$126,1),2))*(F528-INDEX('Step 4 Stage Discharge'!E$26:F$126,MATCH(F528,'Step 4 Stage Discharge'!E$26:E$126,1),1))/(INDEX('Step 4 Stage Discharge'!E$26:F$126,MATCH(F528,'Step 4 Stage Discharge'!E$26:E$126,1)+1,1)-INDEX('Step 4 Stage Discharge'!E$26:F$126,MATCH(F528,'Step 4 Stage Discharge'!E$26:E$126,1),1))</f>
        <v>0</v>
      </c>
      <c r="H528" s="149"/>
      <c r="I528" s="149">
        <f>INDEX('Step 4 Stage Discharge'!E$26:M$126,MATCH(F528,'Step 4 Stage Discharge'!E$26:E$126,1),9)+(INDEX('Step 4 Stage Discharge'!E$26:M$126,MATCH('Step 5 Routing'!F528,'Step 4 Stage Discharge'!E$26:E$126,1)+1,9)-INDEX('Step 4 Stage Discharge'!E$26:M$126,MATCH('Step 5 Routing'!F528,'Step 4 Stage Discharge'!E$26:E$126,1),9))*('Step 5 Routing'!F528-INDEX('Step 4 Stage Discharge'!E$26:M$126,MATCH('Step 5 Routing'!F528,'Step 4 Stage Discharge'!E$26:E$126,1),1))/(INDEX('Step 4 Stage Discharge'!E$26:M$126,MATCH('Step 5 Routing'!F528,'Step 4 Stage Discharge'!E$26:E$126,1)+1,1)-INDEX('Step 4 Stage Discharge'!E$26:M$126,MATCH('Step 5 Routing'!F528,'Step 4 Stage Discharge'!E$26:E$126,1),1))</f>
        <v>4.3639431710317386E-3</v>
      </c>
      <c r="J528" s="149"/>
      <c r="K528" s="6">
        <f t="shared" si="41"/>
        <v>0</v>
      </c>
      <c r="L528" s="6">
        <f t="shared" si="42"/>
        <v>0</v>
      </c>
    </row>
    <row r="529" spans="1:12">
      <c r="A529">
        <f t="shared" si="43"/>
        <v>516</v>
      </c>
      <c r="B529" s="136">
        <f>IF(C$5=Data!D$3,'Step 2 Inflow Hydrograph'!H573,IF(C$5=Data!D$4,'Step 2 Inflow Hydrograph'!I573,IF(C$5=Data!D$5,'Step 2 Inflow Hydrograph'!J573,'Step 2 Inflow Hydrograph'!K573)))</f>
        <v>0</v>
      </c>
      <c r="C529" s="127"/>
      <c r="D529" s="6">
        <f t="shared" si="40"/>
        <v>0</v>
      </c>
      <c r="E529" s="6"/>
      <c r="F529" s="6">
        <f t="shared" si="44"/>
        <v>0</v>
      </c>
      <c r="G529" s="149">
        <f>INDEX('Step 4 Stage Discharge'!E$26:F$126,MATCH(F529,'Step 4 Stage Discharge'!E$26:E$126,1),2)+(INDEX('Step 4 Stage Discharge'!E$26:F$126,MATCH(F529,'Step 4 Stage Discharge'!E$26:E$126,1)+1,2)-INDEX('Step 4 Stage Discharge'!E$26:F$126,MATCH(F529,'Step 4 Stage Discharge'!E$26:E$126,1),2))*(F529-INDEX('Step 4 Stage Discharge'!E$26:F$126,MATCH(F529,'Step 4 Stage Discharge'!E$26:E$126,1),1))/(INDEX('Step 4 Stage Discharge'!E$26:F$126,MATCH(F529,'Step 4 Stage Discharge'!E$26:E$126,1)+1,1)-INDEX('Step 4 Stage Discharge'!E$26:F$126,MATCH(F529,'Step 4 Stage Discharge'!E$26:E$126,1),1))</f>
        <v>0</v>
      </c>
      <c r="H529" s="149"/>
      <c r="I529" s="149">
        <f>INDEX('Step 4 Stage Discharge'!E$26:M$126,MATCH(F529,'Step 4 Stage Discharge'!E$26:E$126,1),9)+(INDEX('Step 4 Stage Discharge'!E$26:M$126,MATCH('Step 5 Routing'!F529,'Step 4 Stage Discharge'!E$26:E$126,1)+1,9)-INDEX('Step 4 Stage Discharge'!E$26:M$126,MATCH('Step 5 Routing'!F529,'Step 4 Stage Discharge'!E$26:E$126,1),9))*('Step 5 Routing'!F529-INDEX('Step 4 Stage Discharge'!E$26:M$126,MATCH('Step 5 Routing'!F529,'Step 4 Stage Discharge'!E$26:E$126,1),1))/(INDEX('Step 4 Stage Discharge'!E$26:M$126,MATCH('Step 5 Routing'!F529,'Step 4 Stage Discharge'!E$26:E$126,1)+1,1)-INDEX('Step 4 Stage Discharge'!E$26:M$126,MATCH('Step 5 Routing'!F529,'Step 4 Stage Discharge'!E$26:E$126,1),1))</f>
        <v>4.3639431710317386E-3</v>
      </c>
      <c r="J529" s="149"/>
      <c r="K529" s="6">
        <f t="shared" si="41"/>
        <v>0</v>
      </c>
      <c r="L529" s="6">
        <f t="shared" si="42"/>
        <v>0</v>
      </c>
    </row>
    <row r="530" spans="1:12">
      <c r="A530">
        <f t="shared" si="43"/>
        <v>517</v>
      </c>
      <c r="B530" s="136">
        <f>IF(C$5=Data!D$3,'Step 2 Inflow Hydrograph'!H574,IF(C$5=Data!D$4,'Step 2 Inflow Hydrograph'!I574,IF(C$5=Data!D$5,'Step 2 Inflow Hydrograph'!J574,'Step 2 Inflow Hydrograph'!K574)))</f>
        <v>0</v>
      </c>
      <c r="C530" s="127"/>
      <c r="D530" s="6">
        <f t="shared" si="40"/>
        <v>0</v>
      </c>
      <c r="E530" s="6"/>
      <c r="F530" s="6">
        <f t="shared" si="44"/>
        <v>0</v>
      </c>
      <c r="G530" s="149">
        <f>INDEX('Step 4 Stage Discharge'!E$26:F$126,MATCH(F530,'Step 4 Stage Discharge'!E$26:E$126,1),2)+(INDEX('Step 4 Stage Discharge'!E$26:F$126,MATCH(F530,'Step 4 Stage Discharge'!E$26:E$126,1)+1,2)-INDEX('Step 4 Stage Discharge'!E$26:F$126,MATCH(F530,'Step 4 Stage Discharge'!E$26:E$126,1),2))*(F530-INDEX('Step 4 Stage Discharge'!E$26:F$126,MATCH(F530,'Step 4 Stage Discharge'!E$26:E$126,1),1))/(INDEX('Step 4 Stage Discharge'!E$26:F$126,MATCH(F530,'Step 4 Stage Discharge'!E$26:E$126,1)+1,1)-INDEX('Step 4 Stage Discharge'!E$26:F$126,MATCH(F530,'Step 4 Stage Discharge'!E$26:E$126,1),1))</f>
        <v>0</v>
      </c>
      <c r="H530" s="149"/>
      <c r="I530" s="149">
        <f>INDEX('Step 4 Stage Discharge'!E$26:M$126,MATCH(F530,'Step 4 Stage Discharge'!E$26:E$126,1),9)+(INDEX('Step 4 Stage Discharge'!E$26:M$126,MATCH('Step 5 Routing'!F530,'Step 4 Stage Discharge'!E$26:E$126,1)+1,9)-INDEX('Step 4 Stage Discharge'!E$26:M$126,MATCH('Step 5 Routing'!F530,'Step 4 Stage Discharge'!E$26:E$126,1),9))*('Step 5 Routing'!F530-INDEX('Step 4 Stage Discharge'!E$26:M$126,MATCH('Step 5 Routing'!F530,'Step 4 Stage Discharge'!E$26:E$126,1),1))/(INDEX('Step 4 Stage Discharge'!E$26:M$126,MATCH('Step 5 Routing'!F530,'Step 4 Stage Discharge'!E$26:E$126,1)+1,1)-INDEX('Step 4 Stage Discharge'!E$26:M$126,MATCH('Step 5 Routing'!F530,'Step 4 Stage Discharge'!E$26:E$126,1),1))</f>
        <v>4.3639431710317386E-3</v>
      </c>
      <c r="J530" s="149"/>
      <c r="K530" s="6">
        <f t="shared" si="41"/>
        <v>0</v>
      </c>
      <c r="L530" s="6">
        <f t="shared" si="42"/>
        <v>0</v>
      </c>
    </row>
    <row r="531" spans="1:12">
      <c r="A531">
        <f t="shared" si="43"/>
        <v>518</v>
      </c>
      <c r="B531" s="136">
        <f>IF(C$5=Data!D$3,'Step 2 Inflow Hydrograph'!H575,IF(C$5=Data!D$4,'Step 2 Inflow Hydrograph'!I575,IF(C$5=Data!D$5,'Step 2 Inflow Hydrograph'!J575,'Step 2 Inflow Hydrograph'!K575)))</f>
        <v>0</v>
      </c>
      <c r="C531" s="127"/>
      <c r="D531" s="6">
        <f t="shared" si="40"/>
        <v>0</v>
      </c>
      <c r="E531" s="6"/>
      <c r="F531" s="6">
        <f t="shared" si="44"/>
        <v>0</v>
      </c>
      <c r="G531" s="149">
        <f>INDEX('Step 4 Stage Discharge'!E$26:F$126,MATCH(F531,'Step 4 Stage Discharge'!E$26:E$126,1),2)+(INDEX('Step 4 Stage Discharge'!E$26:F$126,MATCH(F531,'Step 4 Stage Discharge'!E$26:E$126,1)+1,2)-INDEX('Step 4 Stage Discharge'!E$26:F$126,MATCH(F531,'Step 4 Stage Discharge'!E$26:E$126,1),2))*(F531-INDEX('Step 4 Stage Discharge'!E$26:F$126,MATCH(F531,'Step 4 Stage Discharge'!E$26:E$126,1),1))/(INDEX('Step 4 Stage Discharge'!E$26:F$126,MATCH(F531,'Step 4 Stage Discharge'!E$26:E$126,1)+1,1)-INDEX('Step 4 Stage Discharge'!E$26:F$126,MATCH(F531,'Step 4 Stage Discharge'!E$26:E$126,1),1))</f>
        <v>0</v>
      </c>
      <c r="H531" s="149"/>
      <c r="I531" s="149">
        <f>INDEX('Step 4 Stage Discharge'!E$26:M$126,MATCH(F531,'Step 4 Stage Discharge'!E$26:E$126,1),9)+(INDEX('Step 4 Stage Discharge'!E$26:M$126,MATCH('Step 5 Routing'!F531,'Step 4 Stage Discharge'!E$26:E$126,1)+1,9)-INDEX('Step 4 Stage Discharge'!E$26:M$126,MATCH('Step 5 Routing'!F531,'Step 4 Stage Discharge'!E$26:E$126,1),9))*('Step 5 Routing'!F531-INDEX('Step 4 Stage Discharge'!E$26:M$126,MATCH('Step 5 Routing'!F531,'Step 4 Stage Discharge'!E$26:E$126,1),1))/(INDEX('Step 4 Stage Discharge'!E$26:M$126,MATCH('Step 5 Routing'!F531,'Step 4 Stage Discharge'!E$26:E$126,1)+1,1)-INDEX('Step 4 Stage Discharge'!E$26:M$126,MATCH('Step 5 Routing'!F531,'Step 4 Stage Discharge'!E$26:E$126,1),1))</f>
        <v>4.3639431710317386E-3</v>
      </c>
      <c r="J531" s="149"/>
      <c r="K531" s="6">
        <f t="shared" si="41"/>
        <v>0</v>
      </c>
      <c r="L531" s="6">
        <f t="shared" si="42"/>
        <v>0</v>
      </c>
    </row>
    <row r="532" spans="1:12">
      <c r="A532">
        <f t="shared" si="43"/>
        <v>519</v>
      </c>
      <c r="B532" s="136">
        <f>IF(C$5=Data!D$3,'Step 2 Inflow Hydrograph'!H576,IF(C$5=Data!D$4,'Step 2 Inflow Hydrograph'!I576,IF(C$5=Data!D$5,'Step 2 Inflow Hydrograph'!J576,'Step 2 Inflow Hydrograph'!K576)))</f>
        <v>0</v>
      </c>
      <c r="C532" s="127"/>
      <c r="D532" s="6">
        <f t="shared" si="40"/>
        <v>0</v>
      </c>
      <c r="E532" s="6"/>
      <c r="F532" s="6">
        <f t="shared" si="44"/>
        <v>0</v>
      </c>
      <c r="G532" s="149">
        <f>INDEX('Step 4 Stage Discharge'!E$26:F$126,MATCH(F532,'Step 4 Stage Discharge'!E$26:E$126,1),2)+(INDEX('Step 4 Stage Discharge'!E$26:F$126,MATCH(F532,'Step 4 Stage Discharge'!E$26:E$126,1)+1,2)-INDEX('Step 4 Stage Discharge'!E$26:F$126,MATCH(F532,'Step 4 Stage Discharge'!E$26:E$126,1),2))*(F532-INDEX('Step 4 Stage Discharge'!E$26:F$126,MATCH(F532,'Step 4 Stage Discharge'!E$26:E$126,1),1))/(INDEX('Step 4 Stage Discharge'!E$26:F$126,MATCH(F532,'Step 4 Stage Discharge'!E$26:E$126,1)+1,1)-INDEX('Step 4 Stage Discharge'!E$26:F$126,MATCH(F532,'Step 4 Stage Discharge'!E$26:E$126,1),1))</f>
        <v>0</v>
      </c>
      <c r="H532" s="149"/>
      <c r="I532" s="149">
        <f>INDEX('Step 4 Stage Discharge'!E$26:M$126,MATCH(F532,'Step 4 Stage Discharge'!E$26:E$126,1),9)+(INDEX('Step 4 Stage Discharge'!E$26:M$126,MATCH('Step 5 Routing'!F532,'Step 4 Stage Discharge'!E$26:E$126,1)+1,9)-INDEX('Step 4 Stage Discharge'!E$26:M$126,MATCH('Step 5 Routing'!F532,'Step 4 Stage Discharge'!E$26:E$126,1),9))*('Step 5 Routing'!F532-INDEX('Step 4 Stage Discharge'!E$26:M$126,MATCH('Step 5 Routing'!F532,'Step 4 Stage Discharge'!E$26:E$126,1),1))/(INDEX('Step 4 Stage Discharge'!E$26:M$126,MATCH('Step 5 Routing'!F532,'Step 4 Stage Discharge'!E$26:E$126,1)+1,1)-INDEX('Step 4 Stage Discharge'!E$26:M$126,MATCH('Step 5 Routing'!F532,'Step 4 Stage Discharge'!E$26:E$126,1),1))</f>
        <v>4.3639431710317386E-3</v>
      </c>
      <c r="J532" s="149"/>
      <c r="K532" s="6">
        <f t="shared" si="41"/>
        <v>0</v>
      </c>
      <c r="L532" s="6">
        <f t="shared" si="42"/>
        <v>0</v>
      </c>
    </row>
    <row r="533" spans="1:12">
      <c r="A533">
        <f t="shared" si="43"/>
        <v>520</v>
      </c>
      <c r="B533" s="136">
        <f>IF(C$5=Data!D$3,'Step 2 Inflow Hydrograph'!H577,IF(C$5=Data!D$4,'Step 2 Inflow Hydrograph'!I577,IF(C$5=Data!D$5,'Step 2 Inflow Hydrograph'!J577,'Step 2 Inflow Hydrograph'!K577)))</f>
        <v>0</v>
      </c>
      <c r="C533" s="127"/>
      <c r="D533" s="6">
        <f t="shared" si="40"/>
        <v>0</v>
      </c>
      <c r="E533" s="6"/>
      <c r="F533" s="6">
        <f t="shared" si="44"/>
        <v>0</v>
      </c>
      <c r="G533" s="149">
        <f>INDEX('Step 4 Stage Discharge'!E$26:F$126,MATCH(F533,'Step 4 Stage Discharge'!E$26:E$126,1),2)+(INDEX('Step 4 Stage Discharge'!E$26:F$126,MATCH(F533,'Step 4 Stage Discharge'!E$26:E$126,1)+1,2)-INDEX('Step 4 Stage Discharge'!E$26:F$126,MATCH(F533,'Step 4 Stage Discharge'!E$26:E$126,1),2))*(F533-INDEX('Step 4 Stage Discharge'!E$26:F$126,MATCH(F533,'Step 4 Stage Discharge'!E$26:E$126,1),1))/(INDEX('Step 4 Stage Discharge'!E$26:F$126,MATCH(F533,'Step 4 Stage Discharge'!E$26:E$126,1)+1,1)-INDEX('Step 4 Stage Discharge'!E$26:F$126,MATCH(F533,'Step 4 Stage Discharge'!E$26:E$126,1),1))</f>
        <v>0</v>
      </c>
      <c r="H533" s="149"/>
      <c r="I533" s="149">
        <f>INDEX('Step 4 Stage Discharge'!E$26:M$126,MATCH(F533,'Step 4 Stage Discharge'!E$26:E$126,1),9)+(INDEX('Step 4 Stage Discharge'!E$26:M$126,MATCH('Step 5 Routing'!F533,'Step 4 Stage Discharge'!E$26:E$126,1)+1,9)-INDEX('Step 4 Stage Discharge'!E$26:M$126,MATCH('Step 5 Routing'!F533,'Step 4 Stage Discharge'!E$26:E$126,1),9))*('Step 5 Routing'!F533-INDEX('Step 4 Stage Discharge'!E$26:M$126,MATCH('Step 5 Routing'!F533,'Step 4 Stage Discharge'!E$26:E$126,1),1))/(INDEX('Step 4 Stage Discharge'!E$26:M$126,MATCH('Step 5 Routing'!F533,'Step 4 Stage Discharge'!E$26:E$126,1)+1,1)-INDEX('Step 4 Stage Discharge'!E$26:M$126,MATCH('Step 5 Routing'!F533,'Step 4 Stage Discharge'!E$26:E$126,1),1))</f>
        <v>4.3639431710317386E-3</v>
      </c>
      <c r="J533" s="149"/>
      <c r="K533" s="6">
        <f t="shared" si="41"/>
        <v>0</v>
      </c>
      <c r="L533" s="6">
        <f t="shared" si="42"/>
        <v>0</v>
      </c>
    </row>
    <row r="534" spans="1:12">
      <c r="A534">
        <f t="shared" si="43"/>
        <v>521</v>
      </c>
      <c r="B534" s="136">
        <f>IF(C$5=Data!D$3,'Step 2 Inflow Hydrograph'!H578,IF(C$5=Data!D$4,'Step 2 Inflow Hydrograph'!I578,IF(C$5=Data!D$5,'Step 2 Inflow Hydrograph'!J578,'Step 2 Inflow Hydrograph'!K578)))</f>
        <v>0</v>
      </c>
      <c r="C534" s="127"/>
      <c r="D534" s="6">
        <f t="shared" si="40"/>
        <v>0</v>
      </c>
      <c r="E534" s="6"/>
      <c r="F534" s="6">
        <f t="shared" si="44"/>
        <v>0</v>
      </c>
      <c r="G534" s="149">
        <f>INDEX('Step 4 Stage Discharge'!E$26:F$126,MATCH(F534,'Step 4 Stage Discharge'!E$26:E$126,1),2)+(INDEX('Step 4 Stage Discharge'!E$26:F$126,MATCH(F534,'Step 4 Stage Discharge'!E$26:E$126,1)+1,2)-INDEX('Step 4 Stage Discharge'!E$26:F$126,MATCH(F534,'Step 4 Stage Discharge'!E$26:E$126,1),2))*(F534-INDEX('Step 4 Stage Discharge'!E$26:F$126,MATCH(F534,'Step 4 Stage Discharge'!E$26:E$126,1),1))/(INDEX('Step 4 Stage Discharge'!E$26:F$126,MATCH(F534,'Step 4 Stage Discharge'!E$26:E$126,1)+1,1)-INDEX('Step 4 Stage Discharge'!E$26:F$126,MATCH(F534,'Step 4 Stage Discharge'!E$26:E$126,1),1))</f>
        <v>0</v>
      </c>
      <c r="H534" s="149"/>
      <c r="I534" s="149">
        <f>INDEX('Step 4 Stage Discharge'!E$26:M$126,MATCH(F534,'Step 4 Stage Discharge'!E$26:E$126,1),9)+(INDEX('Step 4 Stage Discharge'!E$26:M$126,MATCH('Step 5 Routing'!F534,'Step 4 Stage Discharge'!E$26:E$126,1)+1,9)-INDEX('Step 4 Stage Discharge'!E$26:M$126,MATCH('Step 5 Routing'!F534,'Step 4 Stage Discharge'!E$26:E$126,1),9))*('Step 5 Routing'!F534-INDEX('Step 4 Stage Discharge'!E$26:M$126,MATCH('Step 5 Routing'!F534,'Step 4 Stage Discharge'!E$26:E$126,1),1))/(INDEX('Step 4 Stage Discharge'!E$26:M$126,MATCH('Step 5 Routing'!F534,'Step 4 Stage Discharge'!E$26:E$126,1)+1,1)-INDEX('Step 4 Stage Discharge'!E$26:M$126,MATCH('Step 5 Routing'!F534,'Step 4 Stage Discharge'!E$26:E$126,1),1))</f>
        <v>4.3639431710317386E-3</v>
      </c>
      <c r="J534" s="149"/>
      <c r="K534" s="6">
        <f t="shared" si="41"/>
        <v>0</v>
      </c>
      <c r="L534" s="6">
        <f t="shared" si="42"/>
        <v>0</v>
      </c>
    </row>
    <row r="535" spans="1:12">
      <c r="A535">
        <f t="shared" si="43"/>
        <v>522</v>
      </c>
      <c r="B535" s="136">
        <f>IF(C$5=Data!D$3,'Step 2 Inflow Hydrograph'!H579,IF(C$5=Data!D$4,'Step 2 Inflow Hydrograph'!I579,IF(C$5=Data!D$5,'Step 2 Inflow Hydrograph'!J579,'Step 2 Inflow Hydrograph'!K579)))</f>
        <v>0</v>
      </c>
      <c r="C535" s="127"/>
      <c r="D535" s="6">
        <f t="shared" si="40"/>
        <v>0</v>
      </c>
      <c r="E535" s="6"/>
      <c r="F535" s="6">
        <f t="shared" si="44"/>
        <v>0</v>
      </c>
      <c r="G535" s="149">
        <f>INDEX('Step 4 Stage Discharge'!E$26:F$126,MATCH(F535,'Step 4 Stage Discharge'!E$26:E$126,1),2)+(INDEX('Step 4 Stage Discharge'!E$26:F$126,MATCH(F535,'Step 4 Stage Discharge'!E$26:E$126,1)+1,2)-INDEX('Step 4 Stage Discharge'!E$26:F$126,MATCH(F535,'Step 4 Stage Discharge'!E$26:E$126,1),2))*(F535-INDEX('Step 4 Stage Discharge'!E$26:F$126,MATCH(F535,'Step 4 Stage Discharge'!E$26:E$126,1),1))/(INDEX('Step 4 Stage Discharge'!E$26:F$126,MATCH(F535,'Step 4 Stage Discharge'!E$26:E$126,1)+1,1)-INDEX('Step 4 Stage Discharge'!E$26:F$126,MATCH(F535,'Step 4 Stage Discharge'!E$26:E$126,1),1))</f>
        <v>0</v>
      </c>
      <c r="H535" s="149"/>
      <c r="I535" s="149">
        <f>INDEX('Step 4 Stage Discharge'!E$26:M$126,MATCH(F535,'Step 4 Stage Discharge'!E$26:E$126,1),9)+(INDEX('Step 4 Stage Discharge'!E$26:M$126,MATCH('Step 5 Routing'!F535,'Step 4 Stage Discharge'!E$26:E$126,1)+1,9)-INDEX('Step 4 Stage Discharge'!E$26:M$126,MATCH('Step 5 Routing'!F535,'Step 4 Stage Discharge'!E$26:E$126,1),9))*('Step 5 Routing'!F535-INDEX('Step 4 Stage Discharge'!E$26:M$126,MATCH('Step 5 Routing'!F535,'Step 4 Stage Discharge'!E$26:E$126,1),1))/(INDEX('Step 4 Stage Discharge'!E$26:M$126,MATCH('Step 5 Routing'!F535,'Step 4 Stage Discharge'!E$26:E$126,1)+1,1)-INDEX('Step 4 Stage Discharge'!E$26:M$126,MATCH('Step 5 Routing'!F535,'Step 4 Stage Discharge'!E$26:E$126,1),1))</f>
        <v>4.3639431710317386E-3</v>
      </c>
      <c r="J535" s="149"/>
      <c r="K535" s="6">
        <f t="shared" si="41"/>
        <v>0</v>
      </c>
      <c r="L535" s="6">
        <f t="shared" si="42"/>
        <v>0</v>
      </c>
    </row>
    <row r="536" spans="1:12">
      <c r="A536">
        <f t="shared" si="43"/>
        <v>523</v>
      </c>
      <c r="B536" s="136">
        <f>IF(C$5=Data!D$3,'Step 2 Inflow Hydrograph'!H580,IF(C$5=Data!D$4,'Step 2 Inflow Hydrograph'!I580,IF(C$5=Data!D$5,'Step 2 Inflow Hydrograph'!J580,'Step 2 Inflow Hydrograph'!K580)))</f>
        <v>0</v>
      </c>
      <c r="C536" s="127"/>
      <c r="D536" s="6">
        <f t="shared" si="40"/>
        <v>0</v>
      </c>
      <c r="E536" s="6"/>
      <c r="F536" s="6">
        <f t="shared" si="44"/>
        <v>0</v>
      </c>
      <c r="G536" s="149">
        <f>INDEX('Step 4 Stage Discharge'!E$26:F$126,MATCH(F536,'Step 4 Stage Discharge'!E$26:E$126,1),2)+(INDEX('Step 4 Stage Discharge'!E$26:F$126,MATCH(F536,'Step 4 Stage Discharge'!E$26:E$126,1)+1,2)-INDEX('Step 4 Stage Discharge'!E$26:F$126,MATCH(F536,'Step 4 Stage Discharge'!E$26:E$126,1),2))*(F536-INDEX('Step 4 Stage Discharge'!E$26:F$126,MATCH(F536,'Step 4 Stage Discharge'!E$26:E$126,1),1))/(INDEX('Step 4 Stage Discharge'!E$26:F$126,MATCH(F536,'Step 4 Stage Discharge'!E$26:E$126,1)+1,1)-INDEX('Step 4 Stage Discharge'!E$26:F$126,MATCH(F536,'Step 4 Stage Discharge'!E$26:E$126,1),1))</f>
        <v>0</v>
      </c>
      <c r="H536" s="149"/>
      <c r="I536" s="149">
        <f>INDEX('Step 4 Stage Discharge'!E$26:M$126,MATCH(F536,'Step 4 Stage Discharge'!E$26:E$126,1),9)+(INDEX('Step 4 Stage Discharge'!E$26:M$126,MATCH('Step 5 Routing'!F536,'Step 4 Stage Discharge'!E$26:E$126,1)+1,9)-INDEX('Step 4 Stage Discharge'!E$26:M$126,MATCH('Step 5 Routing'!F536,'Step 4 Stage Discharge'!E$26:E$126,1),9))*('Step 5 Routing'!F536-INDEX('Step 4 Stage Discharge'!E$26:M$126,MATCH('Step 5 Routing'!F536,'Step 4 Stage Discharge'!E$26:E$126,1),1))/(INDEX('Step 4 Stage Discharge'!E$26:M$126,MATCH('Step 5 Routing'!F536,'Step 4 Stage Discharge'!E$26:E$126,1)+1,1)-INDEX('Step 4 Stage Discharge'!E$26:M$126,MATCH('Step 5 Routing'!F536,'Step 4 Stage Discharge'!E$26:E$126,1),1))</f>
        <v>4.3639431710317386E-3</v>
      </c>
      <c r="J536" s="149"/>
      <c r="K536" s="6">
        <f t="shared" si="41"/>
        <v>0</v>
      </c>
      <c r="L536" s="6">
        <f t="shared" si="42"/>
        <v>0</v>
      </c>
    </row>
    <row r="537" spans="1:12">
      <c r="A537">
        <f t="shared" si="43"/>
        <v>524</v>
      </c>
      <c r="B537" s="136">
        <f>IF(C$5=Data!D$3,'Step 2 Inflow Hydrograph'!H581,IF(C$5=Data!D$4,'Step 2 Inflow Hydrograph'!I581,IF(C$5=Data!D$5,'Step 2 Inflow Hydrograph'!J581,'Step 2 Inflow Hydrograph'!K581)))</f>
        <v>0</v>
      </c>
      <c r="C537" s="127"/>
      <c r="D537" s="6">
        <f t="shared" si="40"/>
        <v>0</v>
      </c>
      <c r="E537" s="6"/>
      <c r="F537" s="6">
        <f t="shared" si="44"/>
        <v>0</v>
      </c>
      <c r="G537" s="149">
        <f>INDEX('Step 4 Stage Discharge'!E$26:F$126,MATCH(F537,'Step 4 Stage Discharge'!E$26:E$126,1),2)+(INDEX('Step 4 Stage Discharge'!E$26:F$126,MATCH(F537,'Step 4 Stage Discharge'!E$26:E$126,1)+1,2)-INDEX('Step 4 Stage Discharge'!E$26:F$126,MATCH(F537,'Step 4 Stage Discharge'!E$26:E$126,1),2))*(F537-INDEX('Step 4 Stage Discharge'!E$26:F$126,MATCH(F537,'Step 4 Stage Discharge'!E$26:E$126,1),1))/(INDEX('Step 4 Stage Discharge'!E$26:F$126,MATCH(F537,'Step 4 Stage Discharge'!E$26:E$126,1)+1,1)-INDEX('Step 4 Stage Discharge'!E$26:F$126,MATCH(F537,'Step 4 Stage Discharge'!E$26:E$126,1),1))</f>
        <v>0</v>
      </c>
      <c r="H537" s="149"/>
      <c r="I537" s="149">
        <f>INDEX('Step 4 Stage Discharge'!E$26:M$126,MATCH(F537,'Step 4 Stage Discharge'!E$26:E$126,1),9)+(INDEX('Step 4 Stage Discharge'!E$26:M$126,MATCH('Step 5 Routing'!F537,'Step 4 Stage Discharge'!E$26:E$126,1)+1,9)-INDEX('Step 4 Stage Discharge'!E$26:M$126,MATCH('Step 5 Routing'!F537,'Step 4 Stage Discharge'!E$26:E$126,1),9))*('Step 5 Routing'!F537-INDEX('Step 4 Stage Discharge'!E$26:M$126,MATCH('Step 5 Routing'!F537,'Step 4 Stage Discharge'!E$26:E$126,1),1))/(INDEX('Step 4 Stage Discharge'!E$26:M$126,MATCH('Step 5 Routing'!F537,'Step 4 Stage Discharge'!E$26:E$126,1)+1,1)-INDEX('Step 4 Stage Discharge'!E$26:M$126,MATCH('Step 5 Routing'!F537,'Step 4 Stage Discharge'!E$26:E$126,1),1))</f>
        <v>4.3639431710317386E-3</v>
      </c>
      <c r="J537" s="149"/>
      <c r="K537" s="6">
        <f t="shared" si="41"/>
        <v>0</v>
      </c>
      <c r="L537" s="6">
        <f t="shared" si="42"/>
        <v>0</v>
      </c>
    </row>
    <row r="538" spans="1:12">
      <c r="A538">
        <f t="shared" si="43"/>
        <v>525</v>
      </c>
      <c r="B538" s="136">
        <f>IF(C$5=Data!D$3,'Step 2 Inflow Hydrograph'!H582,IF(C$5=Data!D$4,'Step 2 Inflow Hydrograph'!I582,IF(C$5=Data!D$5,'Step 2 Inflow Hydrograph'!J582,'Step 2 Inflow Hydrograph'!K582)))</f>
        <v>0</v>
      </c>
      <c r="C538" s="127"/>
      <c r="D538" s="6">
        <f t="shared" si="40"/>
        <v>0</v>
      </c>
      <c r="E538" s="6"/>
      <c r="F538" s="6">
        <f t="shared" si="44"/>
        <v>0</v>
      </c>
      <c r="G538" s="149">
        <f>INDEX('Step 4 Stage Discharge'!E$26:F$126,MATCH(F538,'Step 4 Stage Discharge'!E$26:E$126,1),2)+(INDEX('Step 4 Stage Discharge'!E$26:F$126,MATCH(F538,'Step 4 Stage Discharge'!E$26:E$126,1)+1,2)-INDEX('Step 4 Stage Discharge'!E$26:F$126,MATCH(F538,'Step 4 Stage Discharge'!E$26:E$126,1),2))*(F538-INDEX('Step 4 Stage Discharge'!E$26:F$126,MATCH(F538,'Step 4 Stage Discharge'!E$26:E$126,1),1))/(INDEX('Step 4 Stage Discharge'!E$26:F$126,MATCH(F538,'Step 4 Stage Discharge'!E$26:E$126,1)+1,1)-INDEX('Step 4 Stage Discharge'!E$26:F$126,MATCH(F538,'Step 4 Stage Discharge'!E$26:E$126,1),1))</f>
        <v>0</v>
      </c>
      <c r="H538" s="149"/>
      <c r="I538" s="149">
        <f>INDEX('Step 4 Stage Discharge'!E$26:M$126,MATCH(F538,'Step 4 Stage Discharge'!E$26:E$126,1),9)+(INDEX('Step 4 Stage Discharge'!E$26:M$126,MATCH('Step 5 Routing'!F538,'Step 4 Stage Discharge'!E$26:E$126,1)+1,9)-INDEX('Step 4 Stage Discharge'!E$26:M$126,MATCH('Step 5 Routing'!F538,'Step 4 Stage Discharge'!E$26:E$126,1),9))*('Step 5 Routing'!F538-INDEX('Step 4 Stage Discharge'!E$26:M$126,MATCH('Step 5 Routing'!F538,'Step 4 Stage Discharge'!E$26:E$126,1),1))/(INDEX('Step 4 Stage Discharge'!E$26:M$126,MATCH('Step 5 Routing'!F538,'Step 4 Stage Discharge'!E$26:E$126,1)+1,1)-INDEX('Step 4 Stage Discharge'!E$26:M$126,MATCH('Step 5 Routing'!F538,'Step 4 Stage Discharge'!E$26:E$126,1),1))</f>
        <v>4.3639431710317386E-3</v>
      </c>
      <c r="J538" s="149"/>
      <c r="K538" s="6">
        <f t="shared" si="41"/>
        <v>0</v>
      </c>
      <c r="L538" s="6">
        <f t="shared" si="42"/>
        <v>0</v>
      </c>
    </row>
    <row r="539" spans="1:12">
      <c r="A539">
        <f t="shared" si="43"/>
        <v>526</v>
      </c>
      <c r="B539" s="136">
        <f>IF(C$5=Data!D$3,'Step 2 Inflow Hydrograph'!H583,IF(C$5=Data!D$4,'Step 2 Inflow Hydrograph'!I583,IF(C$5=Data!D$5,'Step 2 Inflow Hydrograph'!J583,'Step 2 Inflow Hydrograph'!K583)))</f>
        <v>0</v>
      </c>
      <c r="C539" s="127"/>
      <c r="D539" s="6">
        <f t="shared" si="40"/>
        <v>0</v>
      </c>
      <c r="E539" s="6"/>
      <c r="F539" s="6">
        <f t="shared" si="44"/>
        <v>0</v>
      </c>
      <c r="G539" s="149">
        <f>INDEX('Step 4 Stage Discharge'!E$26:F$126,MATCH(F539,'Step 4 Stage Discharge'!E$26:E$126,1),2)+(INDEX('Step 4 Stage Discharge'!E$26:F$126,MATCH(F539,'Step 4 Stage Discharge'!E$26:E$126,1)+1,2)-INDEX('Step 4 Stage Discharge'!E$26:F$126,MATCH(F539,'Step 4 Stage Discharge'!E$26:E$126,1),2))*(F539-INDEX('Step 4 Stage Discharge'!E$26:F$126,MATCH(F539,'Step 4 Stage Discharge'!E$26:E$126,1),1))/(INDEX('Step 4 Stage Discharge'!E$26:F$126,MATCH(F539,'Step 4 Stage Discharge'!E$26:E$126,1)+1,1)-INDEX('Step 4 Stage Discharge'!E$26:F$126,MATCH(F539,'Step 4 Stage Discharge'!E$26:E$126,1),1))</f>
        <v>0</v>
      </c>
      <c r="H539" s="149"/>
      <c r="I539" s="149">
        <f>INDEX('Step 4 Stage Discharge'!E$26:M$126,MATCH(F539,'Step 4 Stage Discharge'!E$26:E$126,1),9)+(INDEX('Step 4 Stage Discharge'!E$26:M$126,MATCH('Step 5 Routing'!F539,'Step 4 Stage Discharge'!E$26:E$126,1)+1,9)-INDEX('Step 4 Stage Discharge'!E$26:M$126,MATCH('Step 5 Routing'!F539,'Step 4 Stage Discharge'!E$26:E$126,1),9))*('Step 5 Routing'!F539-INDEX('Step 4 Stage Discharge'!E$26:M$126,MATCH('Step 5 Routing'!F539,'Step 4 Stage Discharge'!E$26:E$126,1),1))/(INDEX('Step 4 Stage Discharge'!E$26:M$126,MATCH('Step 5 Routing'!F539,'Step 4 Stage Discharge'!E$26:E$126,1)+1,1)-INDEX('Step 4 Stage Discharge'!E$26:M$126,MATCH('Step 5 Routing'!F539,'Step 4 Stage Discharge'!E$26:E$126,1),1))</f>
        <v>4.3639431710317386E-3</v>
      </c>
      <c r="J539" s="149"/>
      <c r="K539" s="6">
        <f t="shared" si="41"/>
        <v>0</v>
      </c>
      <c r="L539" s="6">
        <f t="shared" si="42"/>
        <v>0</v>
      </c>
    </row>
    <row r="540" spans="1:12">
      <c r="A540">
        <f t="shared" si="43"/>
        <v>527</v>
      </c>
      <c r="B540" s="136">
        <f>IF(C$5=Data!D$3,'Step 2 Inflow Hydrograph'!H584,IF(C$5=Data!D$4,'Step 2 Inflow Hydrograph'!I584,IF(C$5=Data!D$5,'Step 2 Inflow Hydrograph'!J584,'Step 2 Inflow Hydrograph'!K584)))</f>
        <v>0</v>
      </c>
      <c r="C540" s="127"/>
      <c r="D540" s="6">
        <f t="shared" si="40"/>
        <v>0</v>
      </c>
      <c r="E540" s="6"/>
      <c r="F540" s="6">
        <f t="shared" si="44"/>
        <v>0</v>
      </c>
      <c r="G540" s="149">
        <f>INDEX('Step 4 Stage Discharge'!E$26:F$126,MATCH(F540,'Step 4 Stage Discharge'!E$26:E$126,1),2)+(INDEX('Step 4 Stage Discharge'!E$26:F$126,MATCH(F540,'Step 4 Stage Discharge'!E$26:E$126,1)+1,2)-INDEX('Step 4 Stage Discharge'!E$26:F$126,MATCH(F540,'Step 4 Stage Discharge'!E$26:E$126,1),2))*(F540-INDEX('Step 4 Stage Discharge'!E$26:F$126,MATCH(F540,'Step 4 Stage Discharge'!E$26:E$126,1),1))/(INDEX('Step 4 Stage Discharge'!E$26:F$126,MATCH(F540,'Step 4 Stage Discharge'!E$26:E$126,1)+1,1)-INDEX('Step 4 Stage Discharge'!E$26:F$126,MATCH(F540,'Step 4 Stage Discharge'!E$26:E$126,1),1))</f>
        <v>0</v>
      </c>
      <c r="H540" s="149"/>
      <c r="I540" s="149">
        <f>INDEX('Step 4 Stage Discharge'!E$26:M$126,MATCH(F540,'Step 4 Stage Discharge'!E$26:E$126,1),9)+(INDEX('Step 4 Stage Discharge'!E$26:M$126,MATCH('Step 5 Routing'!F540,'Step 4 Stage Discharge'!E$26:E$126,1)+1,9)-INDEX('Step 4 Stage Discharge'!E$26:M$126,MATCH('Step 5 Routing'!F540,'Step 4 Stage Discharge'!E$26:E$126,1),9))*('Step 5 Routing'!F540-INDEX('Step 4 Stage Discharge'!E$26:M$126,MATCH('Step 5 Routing'!F540,'Step 4 Stage Discharge'!E$26:E$126,1),1))/(INDEX('Step 4 Stage Discharge'!E$26:M$126,MATCH('Step 5 Routing'!F540,'Step 4 Stage Discharge'!E$26:E$126,1)+1,1)-INDEX('Step 4 Stage Discharge'!E$26:M$126,MATCH('Step 5 Routing'!F540,'Step 4 Stage Discharge'!E$26:E$126,1),1))</f>
        <v>4.3639431710317386E-3</v>
      </c>
      <c r="J540" s="149"/>
      <c r="K540" s="6">
        <f t="shared" si="41"/>
        <v>0</v>
      </c>
      <c r="L540" s="6">
        <f t="shared" si="42"/>
        <v>0</v>
      </c>
    </row>
    <row r="541" spans="1:12">
      <c r="A541">
        <f t="shared" si="43"/>
        <v>528</v>
      </c>
      <c r="B541" s="136">
        <f>IF(C$5=Data!D$3,'Step 2 Inflow Hydrograph'!H585,IF(C$5=Data!D$4,'Step 2 Inflow Hydrograph'!I585,IF(C$5=Data!D$5,'Step 2 Inflow Hydrograph'!J585,'Step 2 Inflow Hydrograph'!K585)))</f>
        <v>0</v>
      </c>
      <c r="C541" s="127"/>
      <c r="D541" s="6">
        <f t="shared" si="40"/>
        <v>0</v>
      </c>
      <c r="E541" s="6"/>
      <c r="F541" s="6">
        <f t="shared" si="44"/>
        <v>0</v>
      </c>
      <c r="G541" s="149">
        <f>INDEX('Step 4 Stage Discharge'!E$26:F$126,MATCH(F541,'Step 4 Stage Discharge'!E$26:E$126,1),2)+(INDEX('Step 4 Stage Discharge'!E$26:F$126,MATCH(F541,'Step 4 Stage Discharge'!E$26:E$126,1)+1,2)-INDEX('Step 4 Stage Discharge'!E$26:F$126,MATCH(F541,'Step 4 Stage Discharge'!E$26:E$126,1),2))*(F541-INDEX('Step 4 Stage Discharge'!E$26:F$126,MATCH(F541,'Step 4 Stage Discharge'!E$26:E$126,1),1))/(INDEX('Step 4 Stage Discharge'!E$26:F$126,MATCH(F541,'Step 4 Stage Discharge'!E$26:E$126,1)+1,1)-INDEX('Step 4 Stage Discharge'!E$26:F$126,MATCH(F541,'Step 4 Stage Discharge'!E$26:E$126,1),1))</f>
        <v>0</v>
      </c>
      <c r="H541" s="149"/>
      <c r="I541" s="149">
        <f>INDEX('Step 4 Stage Discharge'!E$26:M$126,MATCH(F541,'Step 4 Stage Discharge'!E$26:E$126,1),9)+(INDEX('Step 4 Stage Discharge'!E$26:M$126,MATCH('Step 5 Routing'!F541,'Step 4 Stage Discharge'!E$26:E$126,1)+1,9)-INDEX('Step 4 Stage Discharge'!E$26:M$126,MATCH('Step 5 Routing'!F541,'Step 4 Stage Discharge'!E$26:E$126,1),9))*('Step 5 Routing'!F541-INDEX('Step 4 Stage Discharge'!E$26:M$126,MATCH('Step 5 Routing'!F541,'Step 4 Stage Discharge'!E$26:E$126,1),1))/(INDEX('Step 4 Stage Discharge'!E$26:M$126,MATCH('Step 5 Routing'!F541,'Step 4 Stage Discharge'!E$26:E$126,1)+1,1)-INDEX('Step 4 Stage Discharge'!E$26:M$126,MATCH('Step 5 Routing'!F541,'Step 4 Stage Discharge'!E$26:E$126,1),1))</f>
        <v>4.3639431710317386E-3</v>
      </c>
      <c r="J541" s="149"/>
      <c r="K541" s="6">
        <f t="shared" si="41"/>
        <v>0</v>
      </c>
      <c r="L541" s="6">
        <f t="shared" si="42"/>
        <v>0</v>
      </c>
    </row>
    <row r="542" spans="1:12">
      <c r="A542">
        <f t="shared" si="43"/>
        <v>529</v>
      </c>
      <c r="B542" s="136">
        <f>IF(C$5=Data!D$3,'Step 2 Inflow Hydrograph'!H586,IF(C$5=Data!D$4,'Step 2 Inflow Hydrograph'!I586,IF(C$5=Data!D$5,'Step 2 Inflow Hydrograph'!J586,'Step 2 Inflow Hydrograph'!K586)))</f>
        <v>0</v>
      </c>
      <c r="C542" s="127"/>
      <c r="D542" s="6">
        <f t="shared" si="40"/>
        <v>0</v>
      </c>
      <c r="E542" s="6"/>
      <c r="F542" s="6">
        <f t="shared" si="44"/>
        <v>0</v>
      </c>
      <c r="G542" s="149">
        <f>INDEX('Step 4 Stage Discharge'!E$26:F$126,MATCH(F542,'Step 4 Stage Discharge'!E$26:E$126,1),2)+(INDEX('Step 4 Stage Discharge'!E$26:F$126,MATCH(F542,'Step 4 Stage Discharge'!E$26:E$126,1)+1,2)-INDEX('Step 4 Stage Discharge'!E$26:F$126,MATCH(F542,'Step 4 Stage Discharge'!E$26:E$126,1),2))*(F542-INDEX('Step 4 Stage Discharge'!E$26:F$126,MATCH(F542,'Step 4 Stage Discharge'!E$26:E$126,1),1))/(INDEX('Step 4 Stage Discharge'!E$26:F$126,MATCH(F542,'Step 4 Stage Discharge'!E$26:E$126,1)+1,1)-INDEX('Step 4 Stage Discharge'!E$26:F$126,MATCH(F542,'Step 4 Stage Discharge'!E$26:E$126,1),1))</f>
        <v>0</v>
      </c>
      <c r="H542" s="149"/>
      <c r="I542" s="149">
        <f>INDEX('Step 4 Stage Discharge'!E$26:M$126,MATCH(F542,'Step 4 Stage Discharge'!E$26:E$126,1),9)+(INDEX('Step 4 Stage Discharge'!E$26:M$126,MATCH('Step 5 Routing'!F542,'Step 4 Stage Discharge'!E$26:E$126,1)+1,9)-INDEX('Step 4 Stage Discharge'!E$26:M$126,MATCH('Step 5 Routing'!F542,'Step 4 Stage Discharge'!E$26:E$126,1),9))*('Step 5 Routing'!F542-INDEX('Step 4 Stage Discharge'!E$26:M$126,MATCH('Step 5 Routing'!F542,'Step 4 Stage Discharge'!E$26:E$126,1),1))/(INDEX('Step 4 Stage Discharge'!E$26:M$126,MATCH('Step 5 Routing'!F542,'Step 4 Stage Discharge'!E$26:E$126,1)+1,1)-INDEX('Step 4 Stage Discharge'!E$26:M$126,MATCH('Step 5 Routing'!F542,'Step 4 Stage Discharge'!E$26:E$126,1),1))</f>
        <v>4.3639431710317386E-3</v>
      </c>
      <c r="J542" s="149"/>
      <c r="K542" s="6">
        <f t="shared" si="41"/>
        <v>0</v>
      </c>
      <c r="L542" s="6">
        <f t="shared" si="42"/>
        <v>0</v>
      </c>
    </row>
    <row r="543" spans="1:12">
      <c r="A543">
        <f t="shared" si="43"/>
        <v>530</v>
      </c>
      <c r="B543" s="136">
        <f>IF(C$5=Data!D$3,'Step 2 Inflow Hydrograph'!H587,IF(C$5=Data!D$4,'Step 2 Inflow Hydrograph'!I587,IF(C$5=Data!D$5,'Step 2 Inflow Hydrograph'!J587,'Step 2 Inflow Hydrograph'!K587)))</f>
        <v>0</v>
      </c>
      <c r="C543" s="127"/>
      <c r="D543" s="6">
        <f t="shared" si="40"/>
        <v>0</v>
      </c>
      <c r="E543" s="6"/>
      <c r="F543" s="6">
        <f t="shared" si="44"/>
        <v>0</v>
      </c>
      <c r="G543" s="149">
        <f>INDEX('Step 4 Stage Discharge'!E$26:F$126,MATCH(F543,'Step 4 Stage Discharge'!E$26:E$126,1),2)+(INDEX('Step 4 Stage Discharge'!E$26:F$126,MATCH(F543,'Step 4 Stage Discharge'!E$26:E$126,1)+1,2)-INDEX('Step 4 Stage Discharge'!E$26:F$126,MATCH(F543,'Step 4 Stage Discharge'!E$26:E$126,1),2))*(F543-INDEX('Step 4 Stage Discharge'!E$26:F$126,MATCH(F543,'Step 4 Stage Discharge'!E$26:E$126,1),1))/(INDEX('Step 4 Stage Discharge'!E$26:F$126,MATCH(F543,'Step 4 Stage Discharge'!E$26:E$126,1)+1,1)-INDEX('Step 4 Stage Discharge'!E$26:F$126,MATCH(F543,'Step 4 Stage Discharge'!E$26:E$126,1),1))</f>
        <v>0</v>
      </c>
      <c r="H543" s="149"/>
      <c r="I543" s="149">
        <f>INDEX('Step 4 Stage Discharge'!E$26:M$126,MATCH(F543,'Step 4 Stage Discharge'!E$26:E$126,1),9)+(INDEX('Step 4 Stage Discharge'!E$26:M$126,MATCH('Step 5 Routing'!F543,'Step 4 Stage Discharge'!E$26:E$126,1)+1,9)-INDEX('Step 4 Stage Discharge'!E$26:M$126,MATCH('Step 5 Routing'!F543,'Step 4 Stage Discharge'!E$26:E$126,1),9))*('Step 5 Routing'!F543-INDEX('Step 4 Stage Discharge'!E$26:M$126,MATCH('Step 5 Routing'!F543,'Step 4 Stage Discharge'!E$26:E$126,1),1))/(INDEX('Step 4 Stage Discharge'!E$26:M$126,MATCH('Step 5 Routing'!F543,'Step 4 Stage Discharge'!E$26:E$126,1)+1,1)-INDEX('Step 4 Stage Discharge'!E$26:M$126,MATCH('Step 5 Routing'!F543,'Step 4 Stage Discharge'!E$26:E$126,1),1))</f>
        <v>4.3639431710317386E-3</v>
      </c>
      <c r="J543" s="149"/>
      <c r="K543" s="6">
        <f t="shared" si="41"/>
        <v>0</v>
      </c>
      <c r="L543" s="6">
        <f t="shared" si="42"/>
        <v>0</v>
      </c>
    </row>
    <row r="544" spans="1:12">
      <c r="A544">
        <f t="shared" si="43"/>
        <v>531</v>
      </c>
      <c r="B544" s="136">
        <f>IF(C$5=Data!D$3,'Step 2 Inflow Hydrograph'!H588,IF(C$5=Data!D$4,'Step 2 Inflow Hydrograph'!I588,IF(C$5=Data!D$5,'Step 2 Inflow Hydrograph'!J588,'Step 2 Inflow Hydrograph'!K588)))</f>
        <v>0</v>
      </c>
      <c r="C544" s="127"/>
      <c r="D544" s="6">
        <f t="shared" si="40"/>
        <v>0</v>
      </c>
      <c r="E544" s="6"/>
      <c r="F544" s="6">
        <f t="shared" si="44"/>
        <v>0</v>
      </c>
      <c r="G544" s="149">
        <f>INDEX('Step 4 Stage Discharge'!E$26:F$126,MATCH(F544,'Step 4 Stage Discharge'!E$26:E$126,1),2)+(INDEX('Step 4 Stage Discharge'!E$26:F$126,MATCH(F544,'Step 4 Stage Discharge'!E$26:E$126,1)+1,2)-INDEX('Step 4 Stage Discharge'!E$26:F$126,MATCH(F544,'Step 4 Stage Discharge'!E$26:E$126,1),2))*(F544-INDEX('Step 4 Stage Discharge'!E$26:F$126,MATCH(F544,'Step 4 Stage Discharge'!E$26:E$126,1),1))/(INDEX('Step 4 Stage Discharge'!E$26:F$126,MATCH(F544,'Step 4 Stage Discharge'!E$26:E$126,1)+1,1)-INDEX('Step 4 Stage Discharge'!E$26:F$126,MATCH(F544,'Step 4 Stage Discharge'!E$26:E$126,1),1))</f>
        <v>0</v>
      </c>
      <c r="H544" s="149"/>
      <c r="I544" s="149">
        <f>INDEX('Step 4 Stage Discharge'!E$26:M$126,MATCH(F544,'Step 4 Stage Discharge'!E$26:E$126,1),9)+(INDEX('Step 4 Stage Discharge'!E$26:M$126,MATCH('Step 5 Routing'!F544,'Step 4 Stage Discharge'!E$26:E$126,1)+1,9)-INDEX('Step 4 Stage Discharge'!E$26:M$126,MATCH('Step 5 Routing'!F544,'Step 4 Stage Discharge'!E$26:E$126,1),9))*('Step 5 Routing'!F544-INDEX('Step 4 Stage Discharge'!E$26:M$126,MATCH('Step 5 Routing'!F544,'Step 4 Stage Discharge'!E$26:E$126,1),1))/(INDEX('Step 4 Stage Discharge'!E$26:M$126,MATCH('Step 5 Routing'!F544,'Step 4 Stage Discharge'!E$26:E$126,1)+1,1)-INDEX('Step 4 Stage Discharge'!E$26:M$126,MATCH('Step 5 Routing'!F544,'Step 4 Stage Discharge'!E$26:E$126,1),1))</f>
        <v>4.3639431710317386E-3</v>
      </c>
      <c r="J544" s="149"/>
      <c r="K544" s="6">
        <f t="shared" si="41"/>
        <v>0</v>
      </c>
      <c r="L544" s="6">
        <f t="shared" si="42"/>
        <v>0</v>
      </c>
    </row>
    <row r="545" spans="1:12">
      <c r="A545">
        <f t="shared" si="43"/>
        <v>532</v>
      </c>
      <c r="B545" s="136">
        <f>IF(C$5=Data!D$3,'Step 2 Inflow Hydrograph'!H589,IF(C$5=Data!D$4,'Step 2 Inflow Hydrograph'!I589,IF(C$5=Data!D$5,'Step 2 Inflow Hydrograph'!J589,'Step 2 Inflow Hydrograph'!K589)))</f>
        <v>0</v>
      </c>
      <c r="C545" s="127"/>
      <c r="D545" s="6">
        <f t="shared" si="40"/>
        <v>0</v>
      </c>
      <c r="E545" s="6"/>
      <c r="F545" s="6">
        <f t="shared" si="44"/>
        <v>0</v>
      </c>
      <c r="G545" s="149">
        <f>INDEX('Step 4 Stage Discharge'!E$26:F$126,MATCH(F545,'Step 4 Stage Discharge'!E$26:E$126,1),2)+(INDEX('Step 4 Stage Discharge'!E$26:F$126,MATCH(F545,'Step 4 Stage Discharge'!E$26:E$126,1)+1,2)-INDEX('Step 4 Stage Discharge'!E$26:F$126,MATCH(F545,'Step 4 Stage Discharge'!E$26:E$126,1),2))*(F545-INDEX('Step 4 Stage Discharge'!E$26:F$126,MATCH(F545,'Step 4 Stage Discharge'!E$26:E$126,1),1))/(INDEX('Step 4 Stage Discharge'!E$26:F$126,MATCH(F545,'Step 4 Stage Discharge'!E$26:E$126,1)+1,1)-INDEX('Step 4 Stage Discharge'!E$26:F$126,MATCH(F545,'Step 4 Stage Discharge'!E$26:E$126,1),1))</f>
        <v>0</v>
      </c>
      <c r="H545" s="149"/>
      <c r="I545" s="149">
        <f>INDEX('Step 4 Stage Discharge'!E$26:M$126,MATCH(F545,'Step 4 Stage Discharge'!E$26:E$126,1),9)+(INDEX('Step 4 Stage Discharge'!E$26:M$126,MATCH('Step 5 Routing'!F545,'Step 4 Stage Discharge'!E$26:E$126,1)+1,9)-INDEX('Step 4 Stage Discharge'!E$26:M$126,MATCH('Step 5 Routing'!F545,'Step 4 Stage Discharge'!E$26:E$126,1),9))*('Step 5 Routing'!F545-INDEX('Step 4 Stage Discharge'!E$26:M$126,MATCH('Step 5 Routing'!F545,'Step 4 Stage Discharge'!E$26:E$126,1),1))/(INDEX('Step 4 Stage Discharge'!E$26:M$126,MATCH('Step 5 Routing'!F545,'Step 4 Stage Discharge'!E$26:E$126,1)+1,1)-INDEX('Step 4 Stage Discharge'!E$26:M$126,MATCH('Step 5 Routing'!F545,'Step 4 Stage Discharge'!E$26:E$126,1),1))</f>
        <v>4.3639431710317386E-3</v>
      </c>
      <c r="J545" s="149"/>
      <c r="K545" s="6">
        <f t="shared" si="41"/>
        <v>0</v>
      </c>
      <c r="L545" s="6">
        <f t="shared" si="42"/>
        <v>0</v>
      </c>
    </row>
    <row r="546" spans="1:12">
      <c r="A546">
        <f t="shared" si="43"/>
        <v>533</v>
      </c>
      <c r="B546" s="136">
        <f>IF(C$5=Data!D$3,'Step 2 Inflow Hydrograph'!H590,IF(C$5=Data!D$4,'Step 2 Inflow Hydrograph'!I590,IF(C$5=Data!D$5,'Step 2 Inflow Hydrograph'!J590,'Step 2 Inflow Hydrograph'!K590)))</f>
        <v>0</v>
      </c>
      <c r="C546" s="127"/>
      <c r="D546" s="6">
        <f t="shared" si="40"/>
        <v>0</v>
      </c>
      <c r="E546" s="6"/>
      <c r="F546" s="6">
        <f t="shared" si="44"/>
        <v>0</v>
      </c>
      <c r="G546" s="149">
        <f>INDEX('Step 4 Stage Discharge'!E$26:F$126,MATCH(F546,'Step 4 Stage Discharge'!E$26:E$126,1),2)+(INDEX('Step 4 Stage Discharge'!E$26:F$126,MATCH(F546,'Step 4 Stage Discharge'!E$26:E$126,1)+1,2)-INDEX('Step 4 Stage Discharge'!E$26:F$126,MATCH(F546,'Step 4 Stage Discharge'!E$26:E$126,1),2))*(F546-INDEX('Step 4 Stage Discharge'!E$26:F$126,MATCH(F546,'Step 4 Stage Discharge'!E$26:E$126,1),1))/(INDEX('Step 4 Stage Discharge'!E$26:F$126,MATCH(F546,'Step 4 Stage Discharge'!E$26:E$126,1)+1,1)-INDEX('Step 4 Stage Discharge'!E$26:F$126,MATCH(F546,'Step 4 Stage Discharge'!E$26:E$126,1),1))</f>
        <v>0</v>
      </c>
      <c r="H546" s="149"/>
      <c r="I546" s="149">
        <f>INDEX('Step 4 Stage Discharge'!E$26:M$126,MATCH(F546,'Step 4 Stage Discharge'!E$26:E$126,1),9)+(INDEX('Step 4 Stage Discharge'!E$26:M$126,MATCH('Step 5 Routing'!F546,'Step 4 Stage Discharge'!E$26:E$126,1)+1,9)-INDEX('Step 4 Stage Discharge'!E$26:M$126,MATCH('Step 5 Routing'!F546,'Step 4 Stage Discharge'!E$26:E$126,1),9))*('Step 5 Routing'!F546-INDEX('Step 4 Stage Discharge'!E$26:M$126,MATCH('Step 5 Routing'!F546,'Step 4 Stage Discharge'!E$26:E$126,1),1))/(INDEX('Step 4 Stage Discharge'!E$26:M$126,MATCH('Step 5 Routing'!F546,'Step 4 Stage Discharge'!E$26:E$126,1)+1,1)-INDEX('Step 4 Stage Discharge'!E$26:M$126,MATCH('Step 5 Routing'!F546,'Step 4 Stage Discharge'!E$26:E$126,1),1))</f>
        <v>4.3639431710317386E-3</v>
      </c>
      <c r="J546" s="149"/>
      <c r="K546" s="6">
        <f t="shared" si="41"/>
        <v>0</v>
      </c>
      <c r="L546" s="6">
        <f t="shared" si="42"/>
        <v>0</v>
      </c>
    </row>
    <row r="547" spans="1:12">
      <c r="A547">
        <f t="shared" si="43"/>
        <v>534</v>
      </c>
      <c r="B547" s="136">
        <f>IF(C$5=Data!D$3,'Step 2 Inflow Hydrograph'!H591,IF(C$5=Data!D$4,'Step 2 Inflow Hydrograph'!I591,IF(C$5=Data!D$5,'Step 2 Inflow Hydrograph'!J591,'Step 2 Inflow Hydrograph'!K591)))</f>
        <v>0</v>
      </c>
      <c r="C547" s="127"/>
      <c r="D547" s="6">
        <f t="shared" si="40"/>
        <v>0</v>
      </c>
      <c r="E547" s="6"/>
      <c r="F547" s="6">
        <f t="shared" si="44"/>
        <v>0</v>
      </c>
      <c r="G547" s="149">
        <f>INDEX('Step 4 Stage Discharge'!E$26:F$126,MATCH(F547,'Step 4 Stage Discharge'!E$26:E$126,1),2)+(INDEX('Step 4 Stage Discharge'!E$26:F$126,MATCH(F547,'Step 4 Stage Discharge'!E$26:E$126,1)+1,2)-INDEX('Step 4 Stage Discharge'!E$26:F$126,MATCH(F547,'Step 4 Stage Discharge'!E$26:E$126,1),2))*(F547-INDEX('Step 4 Stage Discharge'!E$26:F$126,MATCH(F547,'Step 4 Stage Discharge'!E$26:E$126,1),1))/(INDEX('Step 4 Stage Discharge'!E$26:F$126,MATCH(F547,'Step 4 Stage Discharge'!E$26:E$126,1)+1,1)-INDEX('Step 4 Stage Discharge'!E$26:F$126,MATCH(F547,'Step 4 Stage Discharge'!E$26:E$126,1),1))</f>
        <v>0</v>
      </c>
      <c r="H547" s="149"/>
      <c r="I547" s="149">
        <f>INDEX('Step 4 Stage Discharge'!E$26:M$126,MATCH(F547,'Step 4 Stage Discharge'!E$26:E$126,1),9)+(INDEX('Step 4 Stage Discharge'!E$26:M$126,MATCH('Step 5 Routing'!F547,'Step 4 Stage Discharge'!E$26:E$126,1)+1,9)-INDEX('Step 4 Stage Discharge'!E$26:M$126,MATCH('Step 5 Routing'!F547,'Step 4 Stage Discharge'!E$26:E$126,1),9))*('Step 5 Routing'!F547-INDEX('Step 4 Stage Discharge'!E$26:M$126,MATCH('Step 5 Routing'!F547,'Step 4 Stage Discharge'!E$26:E$126,1),1))/(INDEX('Step 4 Stage Discharge'!E$26:M$126,MATCH('Step 5 Routing'!F547,'Step 4 Stage Discharge'!E$26:E$126,1)+1,1)-INDEX('Step 4 Stage Discharge'!E$26:M$126,MATCH('Step 5 Routing'!F547,'Step 4 Stage Discharge'!E$26:E$126,1),1))</f>
        <v>4.3639431710317386E-3</v>
      </c>
      <c r="J547" s="149"/>
      <c r="K547" s="6">
        <f t="shared" si="41"/>
        <v>0</v>
      </c>
      <c r="L547" s="6">
        <f t="shared" si="42"/>
        <v>0</v>
      </c>
    </row>
    <row r="548" spans="1:12">
      <c r="A548">
        <f t="shared" si="43"/>
        <v>535</v>
      </c>
      <c r="B548" s="136">
        <f>IF(C$5=Data!D$3,'Step 2 Inflow Hydrograph'!H592,IF(C$5=Data!D$4,'Step 2 Inflow Hydrograph'!I592,IF(C$5=Data!D$5,'Step 2 Inflow Hydrograph'!J592,'Step 2 Inflow Hydrograph'!K592)))</f>
        <v>0</v>
      </c>
      <c r="C548" s="127"/>
      <c r="D548" s="6">
        <f t="shared" si="40"/>
        <v>0</v>
      </c>
      <c r="E548" s="6"/>
      <c r="F548" s="6">
        <f t="shared" si="44"/>
        <v>0</v>
      </c>
      <c r="G548" s="149">
        <f>INDEX('Step 4 Stage Discharge'!E$26:F$126,MATCH(F548,'Step 4 Stage Discharge'!E$26:E$126,1),2)+(INDEX('Step 4 Stage Discharge'!E$26:F$126,MATCH(F548,'Step 4 Stage Discharge'!E$26:E$126,1)+1,2)-INDEX('Step 4 Stage Discharge'!E$26:F$126,MATCH(F548,'Step 4 Stage Discharge'!E$26:E$126,1),2))*(F548-INDEX('Step 4 Stage Discharge'!E$26:F$126,MATCH(F548,'Step 4 Stage Discharge'!E$26:E$126,1),1))/(INDEX('Step 4 Stage Discharge'!E$26:F$126,MATCH(F548,'Step 4 Stage Discharge'!E$26:E$126,1)+1,1)-INDEX('Step 4 Stage Discharge'!E$26:F$126,MATCH(F548,'Step 4 Stage Discharge'!E$26:E$126,1),1))</f>
        <v>0</v>
      </c>
      <c r="H548" s="149"/>
      <c r="I548" s="149">
        <f>INDEX('Step 4 Stage Discharge'!E$26:M$126,MATCH(F548,'Step 4 Stage Discharge'!E$26:E$126,1),9)+(INDEX('Step 4 Stage Discharge'!E$26:M$126,MATCH('Step 5 Routing'!F548,'Step 4 Stage Discharge'!E$26:E$126,1)+1,9)-INDEX('Step 4 Stage Discharge'!E$26:M$126,MATCH('Step 5 Routing'!F548,'Step 4 Stage Discharge'!E$26:E$126,1),9))*('Step 5 Routing'!F548-INDEX('Step 4 Stage Discharge'!E$26:M$126,MATCH('Step 5 Routing'!F548,'Step 4 Stage Discharge'!E$26:E$126,1),1))/(INDEX('Step 4 Stage Discharge'!E$26:M$126,MATCH('Step 5 Routing'!F548,'Step 4 Stage Discharge'!E$26:E$126,1)+1,1)-INDEX('Step 4 Stage Discharge'!E$26:M$126,MATCH('Step 5 Routing'!F548,'Step 4 Stage Discharge'!E$26:E$126,1),1))</f>
        <v>4.3639431710317386E-3</v>
      </c>
      <c r="J548" s="149"/>
      <c r="K548" s="6">
        <f t="shared" si="41"/>
        <v>0</v>
      </c>
      <c r="L548" s="6">
        <f t="shared" si="42"/>
        <v>0</v>
      </c>
    </row>
    <row r="549" spans="1:12">
      <c r="A549">
        <f t="shared" si="43"/>
        <v>536</v>
      </c>
      <c r="B549" s="136">
        <f>IF(C$5=Data!D$3,'Step 2 Inflow Hydrograph'!H593,IF(C$5=Data!D$4,'Step 2 Inflow Hydrograph'!I593,IF(C$5=Data!D$5,'Step 2 Inflow Hydrograph'!J593,'Step 2 Inflow Hydrograph'!K593)))</f>
        <v>0</v>
      </c>
      <c r="C549" s="127"/>
      <c r="D549" s="6">
        <f t="shared" si="40"/>
        <v>0</v>
      </c>
      <c r="E549" s="6"/>
      <c r="F549" s="6">
        <f t="shared" si="44"/>
        <v>0</v>
      </c>
      <c r="G549" s="149">
        <f>INDEX('Step 4 Stage Discharge'!E$26:F$126,MATCH(F549,'Step 4 Stage Discharge'!E$26:E$126,1),2)+(INDEX('Step 4 Stage Discharge'!E$26:F$126,MATCH(F549,'Step 4 Stage Discharge'!E$26:E$126,1)+1,2)-INDEX('Step 4 Stage Discharge'!E$26:F$126,MATCH(F549,'Step 4 Stage Discharge'!E$26:E$126,1),2))*(F549-INDEX('Step 4 Stage Discharge'!E$26:F$126,MATCH(F549,'Step 4 Stage Discharge'!E$26:E$126,1),1))/(INDEX('Step 4 Stage Discharge'!E$26:F$126,MATCH(F549,'Step 4 Stage Discharge'!E$26:E$126,1)+1,1)-INDEX('Step 4 Stage Discharge'!E$26:F$126,MATCH(F549,'Step 4 Stage Discharge'!E$26:E$126,1),1))</f>
        <v>0</v>
      </c>
      <c r="H549" s="149"/>
      <c r="I549" s="149">
        <f>INDEX('Step 4 Stage Discharge'!E$26:M$126,MATCH(F549,'Step 4 Stage Discharge'!E$26:E$126,1),9)+(INDEX('Step 4 Stage Discharge'!E$26:M$126,MATCH('Step 5 Routing'!F549,'Step 4 Stage Discharge'!E$26:E$126,1)+1,9)-INDEX('Step 4 Stage Discharge'!E$26:M$126,MATCH('Step 5 Routing'!F549,'Step 4 Stage Discharge'!E$26:E$126,1),9))*('Step 5 Routing'!F549-INDEX('Step 4 Stage Discharge'!E$26:M$126,MATCH('Step 5 Routing'!F549,'Step 4 Stage Discharge'!E$26:E$126,1),1))/(INDEX('Step 4 Stage Discharge'!E$26:M$126,MATCH('Step 5 Routing'!F549,'Step 4 Stage Discharge'!E$26:E$126,1)+1,1)-INDEX('Step 4 Stage Discharge'!E$26:M$126,MATCH('Step 5 Routing'!F549,'Step 4 Stage Discharge'!E$26:E$126,1),1))</f>
        <v>4.3639431710317386E-3</v>
      </c>
      <c r="J549" s="149"/>
      <c r="K549" s="6">
        <f t="shared" si="41"/>
        <v>0</v>
      </c>
      <c r="L549" s="6">
        <f t="shared" si="42"/>
        <v>0</v>
      </c>
    </row>
    <row r="550" spans="1:12">
      <c r="A550">
        <f t="shared" si="43"/>
        <v>537</v>
      </c>
      <c r="B550" s="136">
        <f>IF(C$5=Data!D$3,'Step 2 Inflow Hydrograph'!H594,IF(C$5=Data!D$4,'Step 2 Inflow Hydrograph'!I594,IF(C$5=Data!D$5,'Step 2 Inflow Hydrograph'!J594,'Step 2 Inflow Hydrograph'!K594)))</f>
        <v>0</v>
      </c>
      <c r="C550" s="127"/>
      <c r="D550" s="6">
        <f t="shared" si="40"/>
        <v>0</v>
      </c>
      <c r="E550" s="6"/>
      <c r="F550" s="6">
        <f t="shared" si="44"/>
        <v>0</v>
      </c>
      <c r="G550" s="149">
        <f>INDEX('Step 4 Stage Discharge'!E$26:F$126,MATCH(F550,'Step 4 Stage Discharge'!E$26:E$126,1),2)+(INDEX('Step 4 Stage Discharge'!E$26:F$126,MATCH(F550,'Step 4 Stage Discharge'!E$26:E$126,1)+1,2)-INDEX('Step 4 Stage Discharge'!E$26:F$126,MATCH(F550,'Step 4 Stage Discharge'!E$26:E$126,1),2))*(F550-INDEX('Step 4 Stage Discharge'!E$26:F$126,MATCH(F550,'Step 4 Stage Discharge'!E$26:E$126,1),1))/(INDEX('Step 4 Stage Discharge'!E$26:F$126,MATCH(F550,'Step 4 Stage Discharge'!E$26:E$126,1)+1,1)-INDEX('Step 4 Stage Discharge'!E$26:F$126,MATCH(F550,'Step 4 Stage Discharge'!E$26:E$126,1),1))</f>
        <v>0</v>
      </c>
      <c r="H550" s="149"/>
      <c r="I550" s="149">
        <f>INDEX('Step 4 Stage Discharge'!E$26:M$126,MATCH(F550,'Step 4 Stage Discharge'!E$26:E$126,1),9)+(INDEX('Step 4 Stage Discharge'!E$26:M$126,MATCH('Step 5 Routing'!F550,'Step 4 Stage Discharge'!E$26:E$126,1)+1,9)-INDEX('Step 4 Stage Discharge'!E$26:M$126,MATCH('Step 5 Routing'!F550,'Step 4 Stage Discharge'!E$26:E$126,1),9))*('Step 5 Routing'!F550-INDEX('Step 4 Stage Discharge'!E$26:M$126,MATCH('Step 5 Routing'!F550,'Step 4 Stage Discharge'!E$26:E$126,1),1))/(INDEX('Step 4 Stage Discharge'!E$26:M$126,MATCH('Step 5 Routing'!F550,'Step 4 Stage Discharge'!E$26:E$126,1)+1,1)-INDEX('Step 4 Stage Discharge'!E$26:M$126,MATCH('Step 5 Routing'!F550,'Step 4 Stage Discharge'!E$26:E$126,1),1))</f>
        <v>4.3639431710317386E-3</v>
      </c>
      <c r="J550" s="149"/>
      <c r="K550" s="6">
        <f t="shared" si="41"/>
        <v>0</v>
      </c>
      <c r="L550" s="6">
        <f t="shared" si="42"/>
        <v>0</v>
      </c>
    </row>
    <row r="551" spans="1:12">
      <c r="A551">
        <f t="shared" si="43"/>
        <v>538</v>
      </c>
      <c r="B551" s="136">
        <f>IF(C$5=Data!D$3,'Step 2 Inflow Hydrograph'!H595,IF(C$5=Data!D$4,'Step 2 Inflow Hydrograph'!I595,IF(C$5=Data!D$5,'Step 2 Inflow Hydrograph'!J595,'Step 2 Inflow Hydrograph'!K595)))</f>
        <v>0</v>
      </c>
      <c r="C551" s="127"/>
      <c r="D551" s="6">
        <f t="shared" si="40"/>
        <v>0</v>
      </c>
      <c r="E551" s="6"/>
      <c r="F551" s="6">
        <f t="shared" si="44"/>
        <v>0</v>
      </c>
      <c r="G551" s="149">
        <f>INDEX('Step 4 Stage Discharge'!E$26:F$126,MATCH(F551,'Step 4 Stage Discharge'!E$26:E$126,1),2)+(INDEX('Step 4 Stage Discharge'!E$26:F$126,MATCH(F551,'Step 4 Stage Discharge'!E$26:E$126,1)+1,2)-INDEX('Step 4 Stage Discharge'!E$26:F$126,MATCH(F551,'Step 4 Stage Discharge'!E$26:E$126,1),2))*(F551-INDEX('Step 4 Stage Discharge'!E$26:F$126,MATCH(F551,'Step 4 Stage Discharge'!E$26:E$126,1),1))/(INDEX('Step 4 Stage Discharge'!E$26:F$126,MATCH(F551,'Step 4 Stage Discharge'!E$26:E$126,1)+1,1)-INDEX('Step 4 Stage Discharge'!E$26:F$126,MATCH(F551,'Step 4 Stage Discharge'!E$26:E$126,1),1))</f>
        <v>0</v>
      </c>
      <c r="H551" s="149"/>
      <c r="I551" s="149">
        <f>INDEX('Step 4 Stage Discharge'!E$26:M$126,MATCH(F551,'Step 4 Stage Discharge'!E$26:E$126,1),9)+(INDEX('Step 4 Stage Discharge'!E$26:M$126,MATCH('Step 5 Routing'!F551,'Step 4 Stage Discharge'!E$26:E$126,1)+1,9)-INDEX('Step 4 Stage Discharge'!E$26:M$126,MATCH('Step 5 Routing'!F551,'Step 4 Stage Discharge'!E$26:E$126,1),9))*('Step 5 Routing'!F551-INDEX('Step 4 Stage Discharge'!E$26:M$126,MATCH('Step 5 Routing'!F551,'Step 4 Stage Discharge'!E$26:E$126,1),1))/(INDEX('Step 4 Stage Discharge'!E$26:M$126,MATCH('Step 5 Routing'!F551,'Step 4 Stage Discharge'!E$26:E$126,1)+1,1)-INDEX('Step 4 Stage Discharge'!E$26:M$126,MATCH('Step 5 Routing'!F551,'Step 4 Stage Discharge'!E$26:E$126,1),1))</f>
        <v>4.3639431710317386E-3</v>
      </c>
      <c r="J551" s="149"/>
      <c r="K551" s="6">
        <f t="shared" si="41"/>
        <v>0</v>
      </c>
      <c r="L551" s="6">
        <f t="shared" si="42"/>
        <v>0</v>
      </c>
    </row>
    <row r="552" spans="1:12">
      <c r="A552">
        <f t="shared" si="43"/>
        <v>539</v>
      </c>
      <c r="B552" s="136">
        <f>IF(C$5=Data!D$3,'Step 2 Inflow Hydrograph'!H596,IF(C$5=Data!D$4,'Step 2 Inflow Hydrograph'!I596,IF(C$5=Data!D$5,'Step 2 Inflow Hydrograph'!J596,'Step 2 Inflow Hydrograph'!K596)))</f>
        <v>0</v>
      </c>
      <c r="C552" s="127"/>
      <c r="D552" s="6">
        <f t="shared" si="40"/>
        <v>0</v>
      </c>
      <c r="E552" s="6"/>
      <c r="F552" s="6">
        <f t="shared" si="44"/>
        <v>0</v>
      </c>
      <c r="G552" s="149">
        <f>INDEX('Step 4 Stage Discharge'!E$26:F$126,MATCH(F552,'Step 4 Stage Discharge'!E$26:E$126,1),2)+(INDEX('Step 4 Stage Discharge'!E$26:F$126,MATCH(F552,'Step 4 Stage Discharge'!E$26:E$126,1)+1,2)-INDEX('Step 4 Stage Discharge'!E$26:F$126,MATCH(F552,'Step 4 Stage Discharge'!E$26:E$126,1),2))*(F552-INDEX('Step 4 Stage Discharge'!E$26:F$126,MATCH(F552,'Step 4 Stage Discharge'!E$26:E$126,1),1))/(INDEX('Step 4 Stage Discharge'!E$26:F$126,MATCH(F552,'Step 4 Stage Discharge'!E$26:E$126,1)+1,1)-INDEX('Step 4 Stage Discharge'!E$26:F$126,MATCH(F552,'Step 4 Stage Discharge'!E$26:E$126,1),1))</f>
        <v>0</v>
      </c>
      <c r="H552" s="149"/>
      <c r="I552" s="149">
        <f>INDEX('Step 4 Stage Discharge'!E$26:M$126,MATCH(F552,'Step 4 Stage Discharge'!E$26:E$126,1),9)+(INDEX('Step 4 Stage Discharge'!E$26:M$126,MATCH('Step 5 Routing'!F552,'Step 4 Stage Discharge'!E$26:E$126,1)+1,9)-INDEX('Step 4 Stage Discharge'!E$26:M$126,MATCH('Step 5 Routing'!F552,'Step 4 Stage Discharge'!E$26:E$126,1),9))*('Step 5 Routing'!F552-INDEX('Step 4 Stage Discharge'!E$26:M$126,MATCH('Step 5 Routing'!F552,'Step 4 Stage Discharge'!E$26:E$126,1),1))/(INDEX('Step 4 Stage Discharge'!E$26:M$126,MATCH('Step 5 Routing'!F552,'Step 4 Stage Discharge'!E$26:E$126,1)+1,1)-INDEX('Step 4 Stage Discharge'!E$26:M$126,MATCH('Step 5 Routing'!F552,'Step 4 Stage Discharge'!E$26:E$126,1),1))</f>
        <v>4.3639431710317386E-3</v>
      </c>
      <c r="J552" s="149"/>
      <c r="K552" s="6">
        <f t="shared" si="41"/>
        <v>0</v>
      </c>
      <c r="L552" s="6">
        <f t="shared" si="42"/>
        <v>0</v>
      </c>
    </row>
    <row r="553" spans="1:12">
      <c r="A553">
        <f t="shared" si="43"/>
        <v>540</v>
      </c>
      <c r="B553" s="136">
        <f>IF(C$5=Data!D$3,'Step 2 Inflow Hydrograph'!H597,IF(C$5=Data!D$4,'Step 2 Inflow Hydrograph'!I597,IF(C$5=Data!D$5,'Step 2 Inflow Hydrograph'!J597,'Step 2 Inflow Hydrograph'!K597)))</f>
        <v>0</v>
      </c>
      <c r="C553" s="127"/>
      <c r="D553" s="6">
        <f t="shared" si="40"/>
        <v>0</v>
      </c>
      <c r="E553" s="6"/>
      <c r="F553" s="6">
        <f t="shared" si="44"/>
        <v>0</v>
      </c>
      <c r="G553" s="149">
        <f>INDEX('Step 4 Stage Discharge'!E$26:F$126,MATCH(F553,'Step 4 Stage Discharge'!E$26:E$126,1),2)+(INDEX('Step 4 Stage Discharge'!E$26:F$126,MATCH(F553,'Step 4 Stage Discharge'!E$26:E$126,1)+1,2)-INDEX('Step 4 Stage Discharge'!E$26:F$126,MATCH(F553,'Step 4 Stage Discharge'!E$26:E$126,1),2))*(F553-INDEX('Step 4 Stage Discharge'!E$26:F$126,MATCH(F553,'Step 4 Stage Discharge'!E$26:E$126,1),1))/(INDEX('Step 4 Stage Discharge'!E$26:F$126,MATCH(F553,'Step 4 Stage Discharge'!E$26:E$126,1)+1,1)-INDEX('Step 4 Stage Discharge'!E$26:F$126,MATCH(F553,'Step 4 Stage Discharge'!E$26:E$126,1),1))</f>
        <v>0</v>
      </c>
      <c r="H553" s="149"/>
      <c r="I553" s="149">
        <f>INDEX('Step 4 Stage Discharge'!E$26:M$126,MATCH(F553,'Step 4 Stage Discharge'!E$26:E$126,1),9)+(INDEX('Step 4 Stage Discharge'!E$26:M$126,MATCH('Step 5 Routing'!F553,'Step 4 Stage Discharge'!E$26:E$126,1)+1,9)-INDEX('Step 4 Stage Discharge'!E$26:M$126,MATCH('Step 5 Routing'!F553,'Step 4 Stage Discharge'!E$26:E$126,1),9))*('Step 5 Routing'!F553-INDEX('Step 4 Stage Discharge'!E$26:M$126,MATCH('Step 5 Routing'!F553,'Step 4 Stage Discharge'!E$26:E$126,1),1))/(INDEX('Step 4 Stage Discharge'!E$26:M$126,MATCH('Step 5 Routing'!F553,'Step 4 Stage Discharge'!E$26:E$126,1)+1,1)-INDEX('Step 4 Stage Discharge'!E$26:M$126,MATCH('Step 5 Routing'!F553,'Step 4 Stage Discharge'!E$26:E$126,1),1))</f>
        <v>4.3639431710317386E-3</v>
      </c>
      <c r="J553" s="149"/>
      <c r="K553" s="6">
        <f t="shared" si="41"/>
        <v>0</v>
      </c>
      <c r="L553" s="6">
        <f t="shared" si="42"/>
        <v>0</v>
      </c>
    </row>
    <row r="554" spans="1:12">
      <c r="A554">
        <f t="shared" si="43"/>
        <v>541</v>
      </c>
      <c r="B554" s="136">
        <f>IF(C$5=Data!D$3,'Step 2 Inflow Hydrograph'!H598,IF(C$5=Data!D$4,'Step 2 Inflow Hydrograph'!I598,IF(C$5=Data!D$5,'Step 2 Inflow Hydrograph'!J598,'Step 2 Inflow Hydrograph'!K598)))</f>
        <v>0</v>
      </c>
      <c r="C554" s="127"/>
      <c r="D554" s="6">
        <f t="shared" si="40"/>
        <v>0</v>
      </c>
      <c r="E554" s="6"/>
      <c r="F554" s="6">
        <f t="shared" si="44"/>
        <v>0</v>
      </c>
      <c r="G554" s="149">
        <f>INDEX('Step 4 Stage Discharge'!E$26:F$126,MATCH(F554,'Step 4 Stage Discharge'!E$26:E$126,1),2)+(INDEX('Step 4 Stage Discharge'!E$26:F$126,MATCH(F554,'Step 4 Stage Discharge'!E$26:E$126,1)+1,2)-INDEX('Step 4 Stage Discharge'!E$26:F$126,MATCH(F554,'Step 4 Stage Discharge'!E$26:E$126,1),2))*(F554-INDEX('Step 4 Stage Discharge'!E$26:F$126,MATCH(F554,'Step 4 Stage Discharge'!E$26:E$126,1),1))/(INDEX('Step 4 Stage Discharge'!E$26:F$126,MATCH(F554,'Step 4 Stage Discharge'!E$26:E$126,1)+1,1)-INDEX('Step 4 Stage Discharge'!E$26:F$126,MATCH(F554,'Step 4 Stage Discharge'!E$26:E$126,1),1))</f>
        <v>0</v>
      </c>
      <c r="H554" s="149"/>
      <c r="I554" s="149">
        <f>INDEX('Step 4 Stage Discharge'!E$26:M$126,MATCH(F554,'Step 4 Stage Discharge'!E$26:E$126,1),9)+(INDEX('Step 4 Stage Discharge'!E$26:M$126,MATCH('Step 5 Routing'!F554,'Step 4 Stage Discharge'!E$26:E$126,1)+1,9)-INDEX('Step 4 Stage Discharge'!E$26:M$126,MATCH('Step 5 Routing'!F554,'Step 4 Stage Discharge'!E$26:E$126,1),9))*('Step 5 Routing'!F554-INDEX('Step 4 Stage Discharge'!E$26:M$126,MATCH('Step 5 Routing'!F554,'Step 4 Stage Discharge'!E$26:E$126,1),1))/(INDEX('Step 4 Stage Discharge'!E$26:M$126,MATCH('Step 5 Routing'!F554,'Step 4 Stage Discharge'!E$26:E$126,1)+1,1)-INDEX('Step 4 Stage Discharge'!E$26:M$126,MATCH('Step 5 Routing'!F554,'Step 4 Stage Discharge'!E$26:E$126,1),1))</f>
        <v>4.3639431710317386E-3</v>
      </c>
      <c r="J554" s="149"/>
      <c r="K554" s="6">
        <f t="shared" si="41"/>
        <v>0</v>
      </c>
      <c r="L554" s="6">
        <f t="shared" si="42"/>
        <v>0</v>
      </c>
    </row>
    <row r="555" spans="1:12">
      <c r="A555">
        <f t="shared" si="43"/>
        <v>542</v>
      </c>
      <c r="B555" s="136">
        <f>IF(C$5=Data!D$3,'Step 2 Inflow Hydrograph'!H599,IF(C$5=Data!D$4,'Step 2 Inflow Hydrograph'!I599,IF(C$5=Data!D$5,'Step 2 Inflow Hydrograph'!J599,'Step 2 Inflow Hydrograph'!K599)))</f>
        <v>0</v>
      </c>
      <c r="C555" s="127"/>
      <c r="D555" s="6">
        <f t="shared" si="40"/>
        <v>0</v>
      </c>
      <c r="E555" s="6"/>
      <c r="F555" s="6">
        <f t="shared" si="44"/>
        <v>0</v>
      </c>
      <c r="G555" s="149">
        <f>INDEX('Step 4 Stage Discharge'!E$26:F$126,MATCH(F555,'Step 4 Stage Discharge'!E$26:E$126,1),2)+(INDEX('Step 4 Stage Discharge'!E$26:F$126,MATCH(F555,'Step 4 Stage Discharge'!E$26:E$126,1)+1,2)-INDEX('Step 4 Stage Discharge'!E$26:F$126,MATCH(F555,'Step 4 Stage Discharge'!E$26:E$126,1),2))*(F555-INDEX('Step 4 Stage Discharge'!E$26:F$126,MATCH(F555,'Step 4 Stage Discharge'!E$26:E$126,1),1))/(INDEX('Step 4 Stage Discharge'!E$26:F$126,MATCH(F555,'Step 4 Stage Discharge'!E$26:E$126,1)+1,1)-INDEX('Step 4 Stage Discharge'!E$26:F$126,MATCH(F555,'Step 4 Stage Discharge'!E$26:E$126,1),1))</f>
        <v>0</v>
      </c>
      <c r="H555" s="149"/>
      <c r="I555" s="149">
        <f>INDEX('Step 4 Stage Discharge'!E$26:M$126,MATCH(F555,'Step 4 Stage Discharge'!E$26:E$126,1),9)+(INDEX('Step 4 Stage Discharge'!E$26:M$126,MATCH('Step 5 Routing'!F555,'Step 4 Stage Discharge'!E$26:E$126,1)+1,9)-INDEX('Step 4 Stage Discharge'!E$26:M$126,MATCH('Step 5 Routing'!F555,'Step 4 Stage Discharge'!E$26:E$126,1),9))*('Step 5 Routing'!F555-INDEX('Step 4 Stage Discharge'!E$26:M$126,MATCH('Step 5 Routing'!F555,'Step 4 Stage Discharge'!E$26:E$126,1),1))/(INDEX('Step 4 Stage Discharge'!E$26:M$126,MATCH('Step 5 Routing'!F555,'Step 4 Stage Discharge'!E$26:E$126,1)+1,1)-INDEX('Step 4 Stage Discharge'!E$26:M$126,MATCH('Step 5 Routing'!F555,'Step 4 Stage Discharge'!E$26:E$126,1),1))</f>
        <v>4.3639431710317386E-3</v>
      </c>
      <c r="J555" s="149"/>
      <c r="K555" s="6">
        <f t="shared" si="41"/>
        <v>0</v>
      </c>
      <c r="L555" s="6">
        <f t="shared" si="42"/>
        <v>0</v>
      </c>
    </row>
    <row r="556" spans="1:12">
      <c r="A556">
        <f t="shared" si="43"/>
        <v>543</v>
      </c>
      <c r="B556" s="136">
        <f>IF(C$5=Data!D$3,'Step 2 Inflow Hydrograph'!H600,IF(C$5=Data!D$4,'Step 2 Inflow Hydrograph'!I600,IF(C$5=Data!D$5,'Step 2 Inflow Hydrograph'!J600,'Step 2 Inflow Hydrograph'!K600)))</f>
        <v>0</v>
      </c>
      <c r="C556" s="127"/>
      <c r="D556" s="6">
        <f t="shared" si="40"/>
        <v>0</v>
      </c>
      <c r="E556" s="6"/>
      <c r="F556" s="6">
        <f t="shared" si="44"/>
        <v>0</v>
      </c>
      <c r="G556" s="149">
        <f>INDEX('Step 4 Stage Discharge'!E$26:F$126,MATCH(F556,'Step 4 Stage Discharge'!E$26:E$126,1),2)+(INDEX('Step 4 Stage Discharge'!E$26:F$126,MATCH(F556,'Step 4 Stage Discharge'!E$26:E$126,1)+1,2)-INDEX('Step 4 Stage Discharge'!E$26:F$126,MATCH(F556,'Step 4 Stage Discharge'!E$26:E$126,1),2))*(F556-INDEX('Step 4 Stage Discharge'!E$26:F$126,MATCH(F556,'Step 4 Stage Discharge'!E$26:E$126,1),1))/(INDEX('Step 4 Stage Discharge'!E$26:F$126,MATCH(F556,'Step 4 Stage Discharge'!E$26:E$126,1)+1,1)-INDEX('Step 4 Stage Discharge'!E$26:F$126,MATCH(F556,'Step 4 Stage Discharge'!E$26:E$126,1),1))</f>
        <v>0</v>
      </c>
      <c r="H556" s="149"/>
      <c r="I556" s="149">
        <f>INDEX('Step 4 Stage Discharge'!E$26:M$126,MATCH(F556,'Step 4 Stage Discharge'!E$26:E$126,1),9)+(INDEX('Step 4 Stage Discharge'!E$26:M$126,MATCH('Step 5 Routing'!F556,'Step 4 Stage Discharge'!E$26:E$126,1)+1,9)-INDEX('Step 4 Stage Discharge'!E$26:M$126,MATCH('Step 5 Routing'!F556,'Step 4 Stage Discharge'!E$26:E$126,1),9))*('Step 5 Routing'!F556-INDEX('Step 4 Stage Discharge'!E$26:M$126,MATCH('Step 5 Routing'!F556,'Step 4 Stage Discharge'!E$26:E$126,1),1))/(INDEX('Step 4 Stage Discharge'!E$26:M$126,MATCH('Step 5 Routing'!F556,'Step 4 Stage Discharge'!E$26:E$126,1)+1,1)-INDEX('Step 4 Stage Discharge'!E$26:M$126,MATCH('Step 5 Routing'!F556,'Step 4 Stage Discharge'!E$26:E$126,1),1))</f>
        <v>4.3639431710317386E-3</v>
      </c>
      <c r="J556" s="149"/>
      <c r="K556" s="6">
        <f t="shared" si="41"/>
        <v>0</v>
      </c>
      <c r="L556" s="6">
        <f t="shared" si="42"/>
        <v>0</v>
      </c>
    </row>
    <row r="557" spans="1:12">
      <c r="A557">
        <f t="shared" si="43"/>
        <v>544</v>
      </c>
      <c r="B557" s="136">
        <f>IF(C$5=Data!D$3,'Step 2 Inflow Hydrograph'!H601,IF(C$5=Data!D$4,'Step 2 Inflow Hydrograph'!I601,IF(C$5=Data!D$5,'Step 2 Inflow Hydrograph'!J601,'Step 2 Inflow Hydrograph'!K601)))</f>
        <v>0</v>
      </c>
      <c r="C557" s="127"/>
      <c r="D557" s="6">
        <f t="shared" si="40"/>
        <v>0</v>
      </c>
      <c r="E557" s="6"/>
      <c r="F557" s="6">
        <f t="shared" si="44"/>
        <v>0</v>
      </c>
      <c r="G557" s="149">
        <f>INDEX('Step 4 Stage Discharge'!E$26:F$126,MATCH(F557,'Step 4 Stage Discharge'!E$26:E$126,1),2)+(INDEX('Step 4 Stage Discharge'!E$26:F$126,MATCH(F557,'Step 4 Stage Discharge'!E$26:E$126,1)+1,2)-INDEX('Step 4 Stage Discharge'!E$26:F$126,MATCH(F557,'Step 4 Stage Discharge'!E$26:E$126,1),2))*(F557-INDEX('Step 4 Stage Discharge'!E$26:F$126,MATCH(F557,'Step 4 Stage Discharge'!E$26:E$126,1),1))/(INDEX('Step 4 Stage Discharge'!E$26:F$126,MATCH(F557,'Step 4 Stage Discharge'!E$26:E$126,1)+1,1)-INDEX('Step 4 Stage Discharge'!E$26:F$126,MATCH(F557,'Step 4 Stage Discharge'!E$26:E$126,1),1))</f>
        <v>0</v>
      </c>
      <c r="H557" s="149"/>
      <c r="I557" s="149">
        <f>INDEX('Step 4 Stage Discharge'!E$26:M$126,MATCH(F557,'Step 4 Stage Discharge'!E$26:E$126,1),9)+(INDEX('Step 4 Stage Discharge'!E$26:M$126,MATCH('Step 5 Routing'!F557,'Step 4 Stage Discharge'!E$26:E$126,1)+1,9)-INDEX('Step 4 Stage Discharge'!E$26:M$126,MATCH('Step 5 Routing'!F557,'Step 4 Stage Discharge'!E$26:E$126,1),9))*('Step 5 Routing'!F557-INDEX('Step 4 Stage Discharge'!E$26:M$126,MATCH('Step 5 Routing'!F557,'Step 4 Stage Discharge'!E$26:E$126,1),1))/(INDEX('Step 4 Stage Discharge'!E$26:M$126,MATCH('Step 5 Routing'!F557,'Step 4 Stage Discharge'!E$26:E$126,1)+1,1)-INDEX('Step 4 Stage Discharge'!E$26:M$126,MATCH('Step 5 Routing'!F557,'Step 4 Stage Discharge'!E$26:E$126,1),1))</f>
        <v>4.3639431710317386E-3</v>
      </c>
      <c r="J557" s="149"/>
      <c r="K557" s="6">
        <f t="shared" si="41"/>
        <v>0</v>
      </c>
      <c r="L557" s="6">
        <f t="shared" si="42"/>
        <v>0</v>
      </c>
    </row>
    <row r="558" spans="1:12">
      <c r="A558">
        <f t="shared" si="43"/>
        <v>545</v>
      </c>
      <c r="B558" s="136">
        <f>IF(C$5=Data!D$3,'Step 2 Inflow Hydrograph'!H602,IF(C$5=Data!D$4,'Step 2 Inflow Hydrograph'!I602,IF(C$5=Data!D$5,'Step 2 Inflow Hydrograph'!J602,'Step 2 Inflow Hydrograph'!K602)))</f>
        <v>0</v>
      </c>
      <c r="C558" s="127"/>
      <c r="D558" s="6">
        <f t="shared" si="40"/>
        <v>0</v>
      </c>
      <c r="E558" s="6"/>
      <c r="F558" s="6">
        <f t="shared" si="44"/>
        <v>0</v>
      </c>
      <c r="G558" s="149">
        <f>INDEX('Step 4 Stage Discharge'!E$26:F$126,MATCH(F558,'Step 4 Stage Discharge'!E$26:E$126,1),2)+(INDEX('Step 4 Stage Discharge'!E$26:F$126,MATCH(F558,'Step 4 Stage Discharge'!E$26:E$126,1)+1,2)-INDEX('Step 4 Stage Discharge'!E$26:F$126,MATCH(F558,'Step 4 Stage Discharge'!E$26:E$126,1),2))*(F558-INDEX('Step 4 Stage Discharge'!E$26:F$126,MATCH(F558,'Step 4 Stage Discharge'!E$26:E$126,1),1))/(INDEX('Step 4 Stage Discharge'!E$26:F$126,MATCH(F558,'Step 4 Stage Discharge'!E$26:E$126,1)+1,1)-INDEX('Step 4 Stage Discharge'!E$26:F$126,MATCH(F558,'Step 4 Stage Discharge'!E$26:E$126,1),1))</f>
        <v>0</v>
      </c>
      <c r="H558" s="149"/>
      <c r="I558" s="149">
        <f>INDEX('Step 4 Stage Discharge'!E$26:M$126,MATCH(F558,'Step 4 Stage Discharge'!E$26:E$126,1),9)+(INDEX('Step 4 Stage Discharge'!E$26:M$126,MATCH('Step 5 Routing'!F558,'Step 4 Stage Discharge'!E$26:E$126,1)+1,9)-INDEX('Step 4 Stage Discharge'!E$26:M$126,MATCH('Step 5 Routing'!F558,'Step 4 Stage Discharge'!E$26:E$126,1),9))*('Step 5 Routing'!F558-INDEX('Step 4 Stage Discharge'!E$26:M$126,MATCH('Step 5 Routing'!F558,'Step 4 Stage Discharge'!E$26:E$126,1),1))/(INDEX('Step 4 Stage Discharge'!E$26:M$126,MATCH('Step 5 Routing'!F558,'Step 4 Stage Discharge'!E$26:E$126,1)+1,1)-INDEX('Step 4 Stage Discharge'!E$26:M$126,MATCH('Step 5 Routing'!F558,'Step 4 Stage Discharge'!E$26:E$126,1),1))</f>
        <v>4.3639431710317386E-3</v>
      </c>
      <c r="J558" s="149"/>
      <c r="K558" s="6">
        <f t="shared" si="41"/>
        <v>0</v>
      </c>
      <c r="L558" s="6">
        <f t="shared" si="42"/>
        <v>0</v>
      </c>
    </row>
    <row r="559" spans="1:12">
      <c r="A559">
        <f t="shared" si="43"/>
        <v>546</v>
      </c>
      <c r="B559" s="136">
        <f>IF(C$5=Data!D$3,'Step 2 Inflow Hydrograph'!H603,IF(C$5=Data!D$4,'Step 2 Inflow Hydrograph'!I603,IF(C$5=Data!D$5,'Step 2 Inflow Hydrograph'!J603,'Step 2 Inflow Hydrograph'!K603)))</f>
        <v>0</v>
      </c>
      <c r="C559" s="127"/>
      <c r="D559" s="6">
        <f t="shared" si="40"/>
        <v>0</v>
      </c>
      <c r="E559" s="6"/>
      <c r="F559" s="6">
        <f t="shared" si="44"/>
        <v>0</v>
      </c>
      <c r="G559" s="149">
        <f>INDEX('Step 4 Stage Discharge'!E$26:F$126,MATCH(F559,'Step 4 Stage Discharge'!E$26:E$126,1),2)+(INDEX('Step 4 Stage Discharge'!E$26:F$126,MATCH(F559,'Step 4 Stage Discharge'!E$26:E$126,1)+1,2)-INDEX('Step 4 Stage Discharge'!E$26:F$126,MATCH(F559,'Step 4 Stage Discharge'!E$26:E$126,1),2))*(F559-INDEX('Step 4 Stage Discharge'!E$26:F$126,MATCH(F559,'Step 4 Stage Discharge'!E$26:E$126,1),1))/(INDEX('Step 4 Stage Discharge'!E$26:F$126,MATCH(F559,'Step 4 Stage Discharge'!E$26:E$126,1)+1,1)-INDEX('Step 4 Stage Discharge'!E$26:F$126,MATCH(F559,'Step 4 Stage Discharge'!E$26:E$126,1),1))</f>
        <v>0</v>
      </c>
      <c r="H559" s="149"/>
      <c r="I559" s="149">
        <f>INDEX('Step 4 Stage Discharge'!E$26:M$126,MATCH(F559,'Step 4 Stage Discharge'!E$26:E$126,1),9)+(INDEX('Step 4 Stage Discharge'!E$26:M$126,MATCH('Step 5 Routing'!F559,'Step 4 Stage Discharge'!E$26:E$126,1)+1,9)-INDEX('Step 4 Stage Discharge'!E$26:M$126,MATCH('Step 5 Routing'!F559,'Step 4 Stage Discharge'!E$26:E$126,1),9))*('Step 5 Routing'!F559-INDEX('Step 4 Stage Discharge'!E$26:M$126,MATCH('Step 5 Routing'!F559,'Step 4 Stage Discharge'!E$26:E$126,1),1))/(INDEX('Step 4 Stage Discharge'!E$26:M$126,MATCH('Step 5 Routing'!F559,'Step 4 Stage Discharge'!E$26:E$126,1)+1,1)-INDEX('Step 4 Stage Discharge'!E$26:M$126,MATCH('Step 5 Routing'!F559,'Step 4 Stage Discharge'!E$26:E$126,1),1))</f>
        <v>4.3639431710317386E-3</v>
      </c>
      <c r="J559" s="149"/>
      <c r="K559" s="6">
        <f t="shared" si="41"/>
        <v>0</v>
      </c>
      <c r="L559" s="6">
        <f t="shared" si="42"/>
        <v>0</v>
      </c>
    </row>
    <row r="560" spans="1:12">
      <c r="A560">
        <f t="shared" si="43"/>
        <v>547</v>
      </c>
      <c r="B560" s="136">
        <f>IF(C$5=Data!D$3,'Step 2 Inflow Hydrograph'!H604,IF(C$5=Data!D$4,'Step 2 Inflow Hydrograph'!I604,IF(C$5=Data!D$5,'Step 2 Inflow Hydrograph'!J604,'Step 2 Inflow Hydrograph'!K604)))</f>
        <v>0</v>
      </c>
      <c r="C560" s="127"/>
      <c r="D560" s="6">
        <f t="shared" si="40"/>
        <v>0</v>
      </c>
      <c r="E560" s="6"/>
      <c r="F560" s="6">
        <f t="shared" si="44"/>
        <v>0</v>
      </c>
      <c r="G560" s="149">
        <f>INDEX('Step 4 Stage Discharge'!E$26:F$126,MATCH(F560,'Step 4 Stage Discharge'!E$26:E$126,1),2)+(INDEX('Step 4 Stage Discharge'!E$26:F$126,MATCH(F560,'Step 4 Stage Discharge'!E$26:E$126,1)+1,2)-INDEX('Step 4 Stage Discharge'!E$26:F$126,MATCH(F560,'Step 4 Stage Discharge'!E$26:E$126,1),2))*(F560-INDEX('Step 4 Stage Discharge'!E$26:F$126,MATCH(F560,'Step 4 Stage Discharge'!E$26:E$126,1),1))/(INDEX('Step 4 Stage Discharge'!E$26:F$126,MATCH(F560,'Step 4 Stage Discharge'!E$26:E$126,1)+1,1)-INDEX('Step 4 Stage Discharge'!E$26:F$126,MATCH(F560,'Step 4 Stage Discharge'!E$26:E$126,1),1))</f>
        <v>0</v>
      </c>
      <c r="H560" s="149"/>
      <c r="I560" s="149">
        <f>INDEX('Step 4 Stage Discharge'!E$26:M$126,MATCH(F560,'Step 4 Stage Discharge'!E$26:E$126,1),9)+(INDEX('Step 4 Stage Discharge'!E$26:M$126,MATCH('Step 5 Routing'!F560,'Step 4 Stage Discharge'!E$26:E$126,1)+1,9)-INDEX('Step 4 Stage Discharge'!E$26:M$126,MATCH('Step 5 Routing'!F560,'Step 4 Stage Discharge'!E$26:E$126,1),9))*('Step 5 Routing'!F560-INDEX('Step 4 Stage Discharge'!E$26:M$126,MATCH('Step 5 Routing'!F560,'Step 4 Stage Discharge'!E$26:E$126,1),1))/(INDEX('Step 4 Stage Discharge'!E$26:M$126,MATCH('Step 5 Routing'!F560,'Step 4 Stage Discharge'!E$26:E$126,1)+1,1)-INDEX('Step 4 Stage Discharge'!E$26:M$126,MATCH('Step 5 Routing'!F560,'Step 4 Stage Discharge'!E$26:E$126,1),1))</f>
        <v>4.3639431710317386E-3</v>
      </c>
      <c r="J560" s="149"/>
      <c r="K560" s="6">
        <f t="shared" si="41"/>
        <v>0</v>
      </c>
      <c r="L560" s="6">
        <f t="shared" si="42"/>
        <v>0</v>
      </c>
    </row>
    <row r="561" spans="1:12">
      <c r="A561">
        <f t="shared" si="43"/>
        <v>548</v>
      </c>
      <c r="B561" s="136">
        <f>IF(C$5=Data!D$3,'Step 2 Inflow Hydrograph'!H605,IF(C$5=Data!D$4,'Step 2 Inflow Hydrograph'!I605,IF(C$5=Data!D$5,'Step 2 Inflow Hydrograph'!J605,'Step 2 Inflow Hydrograph'!K605)))</f>
        <v>0</v>
      </c>
      <c r="C561" s="127"/>
      <c r="D561" s="6">
        <f t="shared" si="40"/>
        <v>0</v>
      </c>
      <c r="E561" s="6"/>
      <c r="F561" s="6">
        <f t="shared" si="44"/>
        <v>0</v>
      </c>
      <c r="G561" s="149">
        <f>INDEX('Step 4 Stage Discharge'!E$26:F$126,MATCH(F561,'Step 4 Stage Discharge'!E$26:E$126,1),2)+(INDEX('Step 4 Stage Discharge'!E$26:F$126,MATCH(F561,'Step 4 Stage Discharge'!E$26:E$126,1)+1,2)-INDEX('Step 4 Stage Discharge'!E$26:F$126,MATCH(F561,'Step 4 Stage Discharge'!E$26:E$126,1),2))*(F561-INDEX('Step 4 Stage Discharge'!E$26:F$126,MATCH(F561,'Step 4 Stage Discharge'!E$26:E$126,1),1))/(INDEX('Step 4 Stage Discharge'!E$26:F$126,MATCH(F561,'Step 4 Stage Discharge'!E$26:E$126,1)+1,1)-INDEX('Step 4 Stage Discharge'!E$26:F$126,MATCH(F561,'Step 4 Stage Discharge'!E$26:E$126,1),1))</f>
        <v>0</v>
      </c>
      <c r="H561" s="149"/>
      <c r="I561" s="149">
        <f>INDEX('Step 4 Stage Discharge'!E$26:M$126,MATCH(F561,'Step 4 Stage Discharge'!E$26:E$126,1),9)+(INDEX('Step 4 Stage Discharge'!E$26:M$126,MATCH('Step 5 Routing'!F561,'Step 4 Stage Discharge'!E$26:E$126,1)+1,9)-INDEX('Step 4 Stage Discharge'!E$26:M$126,MATCH('Step 5 Routing'!F561,'Step 4 Stage Discharge'!E$26:E$126,1),9))*('Step 5 Routing'!F561-INDEX('Step 4 Stage Discharge'!E$26:M$126,MATCH('Step 5 Routing'!F561,'Step 4 Stage Discharge'!E$26:E$126,1),1))/(INDEX('Step 4 Stage Discharge'!E$26:M$126,MATCH('Step 5 Routing'!F561,'Step 4 Stage Discharge'!E$26:E$126,1)+1,1)-INDEX('Step 4 Stage Discharge'!E$26:M$126,MATCH('Step 5 Routing'!F561,'Step 4 Stage Discharge'!E$26:E$126,1),1))</f>
        <v>4.3639431710317386E-3</v>
      </c>
      <c r="J561" s="149"/>
      <c r="K561" s="6">
        <f t="shared" si="41"/>
        <v>0</v>
      </c>
      <c r="L561" s="6">
        <f t="shared" si="42"/>
        <v>0</v>
      </c>
    </row>
    <row r="562" spans="1:12">
      <c r="A562">
        <f t="shared" si="43"/>
        <v>549</v>
      </c>
      <c r="B562" s="136">
        <f>IF(C$5=Data!D$3,'Step 2 Inflow Hydrograph'!H606,IF(C$5=Data!D$4,'Step 2 Inflow Hydrograph'!I606,IF(C$5=Data!D$5,'Step 2 Inflow Hydrograph'!J606,'Step 2 Inflow Hydrograph'!K606)))</f>
        <v>0</v>
      </c>
      <c r="C562" s="127"/>
      <c r="D562" s="6">
        <f t="shared" si="40"/>
        <v>0</v>
      </c>
      <c r="E562" s="6"/>
      <c r="F562" s="6">
        <f t="shared" si="44"/>
        <v>0</v>
      </c>
      <c r="G562" s="149">
        <f>INDEX('Step 4 Stage Discharge'!E$26:F$126,MATCH(F562,'Step 4 Stage Discharge'!E$26:E$126,1),2)+(INDEX('Step 4 Stage Discharge'!E$26:F$126,MATCH(F562,'Step 4 Stage Discharge'!E$26:E$126,1)+1,2)-INDEX('Step 4 Stage Discharge'!E$26:F$126,MATCH(F562,'Step 4 Stage Discharge'!E$26:E$126,1),2))*(F562-INDEX('Step 4 Stage Discharge'!E$26:F$126,MATCH(F562,'Step 4 Stage Discharge'!E$26:E$126,1),1))/(INDEX('Step 4 Stage Discharge'!E$26:F$126,MATCH(F562,'Step 4 Stage Discharge'!E$26:E$126,1)+1,1)-INDEX('Step 4 Stage Discharge'!E$26:F$126,MATCH(F562,'Step 4 Stage Discharge'!E$26:E$126,1),1))</f>
        <v>0</v>
      </c>
      <c r="H562" s="149"/>
      <c r="I562" s="149">
        <f>INDEX('Step 4 Stage Discharge'!E$26:M$126,MATCH(F562,'Step 4 Stage Discharge'!E$26:E$126,1),9)+(INDEX('Step 4 Stage Discharge'!E$26:M$126,MATCH('Step 5 Routing'!F562,'Step 4 Stage Discharge'!E$26:E$126,1)+1,9)-INDEX('Step 4 Stage Discharge'!E$26:M$126,MATCH('Step 5 Routing'!F562,'Step 4 Stage Discharge'!E$26:E$126,1),9))*('Step 5 Routing'!F562-INDEX('Step 4 Stage Discharge'!E$26:M$126,MATCH('Step 5 Routing'!F562,'Step 4 Stage Discharge'!E$26:E$126,1),1))/(INDEX('Step 4 Stage Discharge'!E$26:M$126,MATCH('Step 5 Routing'!F562,'Step 4 Stage Discharge'!E$26:E$126,1)+1,1)-INDEX('Step 4 Stage Discharge'!E$26:M$126,MATCH('Step 5 Routing'!F562,'Step 4 Stage Discharge'!E$26:E$126,1),1))</f>
        <v>4.3639431710317386E-3</v>
      </c>
      <c r="J562" s="149"/>
      <c r="K562" s="6">
        <f t="shared" si="41"/>
        <v>0</v>
      </c>
      <c r="L562" s="6">
        <f t="shared" si="42"/>
        <v>0</v>
      </c>
    </row>
    <row r="563" spans="1:12">
      <c r="A563">
        <f t="shared" si="43"/>
        <v>550</v>
      </c>
      <c r="B563" s="136">
        <f>IF(C$5=Data!D$3,'Step 2 Inflow Hydrograph'!H607,IF(C$5=Data!D$4,'Step 2 Inflow Hydrograph'!I607,IF(C$5=Data!D$5,'Step 2 Inflow Hydrograph'!J607,'Step 2 Inflow Hydrograph'!K607)))</f>
        <v>0</v>
      </c>
      <c r="C563" s="127"/>
      <c r="D563" s="6">
        <f t="shared" si="40"/>
        <v>0</v>
      </c>
      <c r="E563" s="6"/>
      <c r="F563" s="6">
        <f t="shared" si="44"/>
        <v>0</v>
      </c>
      <c r="G563" s="149">
        <f>INDEX('Step 4 Stage Discharge'!E$26:F$126,MATCH(F563,'Step 4 Stage Discharge'!E$26:E$126,1),2)+(INDEX('Step 4 Stage Discharge'!E$26:F$126,MATCH(F563,'Step 4 Stage Discharge'!E$26:E$126,1)+1,2)-INDEX('Step 4 Stage Discharge'!E$26:F$126,MATCH(F563,'Step 4 Stage Discharge'!E$26:E$126,1),2))*(F563-INDEX('Step 4 Stage Discharge'!E$26:F$126,MATCH(F563,'Step 4 Stage Discharge'!E$26:E$126,1),1))/(INDEX('Step 4 Stage Discharge'!E$26:F$126,MATCH(F563,'Step 4 Stage Discharge'!E$26:E$126,1)+1,1)-INDEX('Step 4 Stage Discharge'!E$26:F$126,MATCH(F563,'Step 4 Stage Discharge'!E$26:E$126,1),1))</f>
        <v>0</v>
      </c>
      <c r="H563" s="149"/>
      <c r="I563" s="149">
        <f>INDEX('Step 4 Stage Discharge'!E$26:M$126,MATCH(F563,'Step 4 Stage Discharge'!E$26:E$126,1),9)+(INDEX('Step 4 Stage Discharge'!E$26:M$126,MATCH('Step 5 Routing'!F563,'Step 4 Stage Discharge'!E$26:E$126,1)+1,9)-INDEX('Step 4 Stage Discharge'!E$26:M$126,MATCH('Step 5 Routing'!F563,'Step 4 Stage Discharge'!E$26:E$126,1),9))*('Step 5 Routing'!F563-INDEX('Step 4 Stage Discharge'!E$26:M$126,MATCH('Step 5 Routing'!F563,'Step 4 Stage Discharge'!E$26:E$126,1),1))/(INDEX('Step 4 Stage Discharge'!E$26:M$126,MATCH('Step 5 Routing'!F563,'Step 4 Stage Discharge'!E$26:E$126,1)+1,1)-INDEX('Step 4 Stage Discharge'!E$26:M$126,MATCH('Step 5 Routing'!F563,'Step 4 Stage Discharge'!E$26:E$126,1),1))</f>
        <v>4.3639431710317386E-3</v>
      </c>
      <c r="J563" s="149"/>
      <c r="K563" s="6">
        <f t="shared" si="41"/>
        <v>0</v>
      </c>
      <c r="L563" s="6">
        <f t="shared" si="42"/>
        <v>0</v>
      </c>
    </row>
    <row r="564" spans="1:12">
      <c r="A564">
        <f t="shared" si="43"/>
        <v>551</v>
      </c>
      <c r="B564" s="136">
        <f>IF(C$5=Data!D$3,'Step 2 Inflow Hydrograph'!H608,IF(C$5=Data!D$4,'Step 2 Inflow Hydrograph'!I608,IF(C$5=Data!D$5,'Step 2 Inflow Hydrograph'!J608,'Step 2 Inflow Hydrograph'!K608)))</f>
        <v>0</v>
      </c>
      <c r="C564" s="127"/>
      <c r="D564" s="6">
        <f t="shared" si="40"/>
        <v>0</v>
      </c>
      <c r="E564" s="6"/>
      <c r="F564" s="6">
        <f t="shared" si="44"/>
        <v>0</v>
      </c>
      <c r="G564" s="149">
        <f>INDEX('Step 4 Stage Discharge'!E$26:F$126,MATCH(F564,'Step 4 Stage Discharge'!E$26:E$126,1),2)+(INDEX('Step 4 Stage Discharge'!E$26:F$126,MATCH(F564,'Step 4 Stage Discharge'!E$26:E$126,1)+1,2)-INDEX('Step 4 Stage Discharge'!E$26:F$126,MATCH(F564,'Step 4 Stage Discharge'!E$26:E$126,1),2))*(F564-INDEX('Step 4 Stage Discharge'!E$26:F$126,MATCH(F564,'Step 4 Stage Discharge'!E$26:E$126,1),1))/(INDEX('Step 4 Stage Discharge'!E$26:F$126,MATCH(F564,'Step 4 Stage Discharge'!E$26:E$126,1)+1,1)-INDEX('Step 4 Stage Discharge'!E$26:F$126,MATCH(F564,'Step 4 Stage Discharge'!E$26:E$126,1),1))</f>
        <v>0</v>
      </c>
      <c r="H564" s="149"/>
      <c r="I564" s="149">
        <f>INDEX('Step 4 Stage Discharge'!E$26:M$126,MATCH(F564,'Step 4 Stage Discharge'!E$26:E$126,1),9)+(INDEX('Step 4 Stage Discharge'!E$26:M$126,MATCH('Step 5 Routing'!F564,'Step 4 Stage Discharge'!E$26:E$126,1)+1,9)-INDEX('Step 4 Stage Discharge'!E$26:M$126,MATCH('Step 5 Routing'!F564,'Step 4 Stage Discharge'!E$26:E$126,1),9))*('Step 5 Routing'!F564-INDEX('Step 4 Stage Discharge'!E$26:M$126,MATCH('Step 5 Routing'!F564,'Step 4 Stage Discharge'!E$26:E$126,1),1))/(INDEX('Step 4 Stage Discharge'!E$26:M$126,MATCH('Step 5 Routing'!F564,'Step 4 Stage Discharge'!E$26:E$126,1)+1,1)-INDEX('Step 4 Stage Discharge'!E$26:M$126,MATCH('Step 5 Routing'!F564,'Step 4 Stage Discharge'!E$26:E$126,1),1))</f>
        <v>4.3639431710317386E-3</v>
      </c>
      <c r="J564" s="149"/>
      <c r="K564" s="6">
        <f t="shared" si="41"/>
        <v>0</v>
      </c>
      <c r="L564" s="6">
        <f t="shared" si="42"/>
        <v>0</v>
      </c>
    </row>
    <row r="565" spans="1:12">
      <c r="A565">
        <f t="shared" si="43"/>
        <v>552</v>
      </c>
      <c r="B565" s="136">
        <f>IF(C$5=Data!D$3,'Step 2 Inflow Hydrograph'!H609,IF(C$5=Data!D$4,'Step 2 Inflow Hydrograph'!I609,IF(C$5=Data!D$5,'Step 2 Inflow Hydrograph'!J609,'Step 2 Inflow Hydrograph'!K609)))</f>
        <v>0</v>
      </c>
      <c r="C565" s="127"/>
      <c r="D565" s="6">
        <f t="shared" si="40"/>
        <v>0</v>
      </c>
      <c r="E565" s="6"/>
      <c r="F565" s="6">
        <f t="shared" si="44"/>
        <v>0</v>
      </c>
      <c r="G565" s="149">
        <f>INDEX('Step 4 Stage Discharge'!E$26:F$126,MATCH(F565,'Step 4 Stage Discharge'!E$26:E$126,1),2)+(INDEX('Step 4 Stage Discharge'!E$26:F$126,MATCH(F565,'Step 4 Stage Discharge'!E$26:E$126,1)+1,2)-INDEX('Step 4 Stage Discharge'!E$26:F$126,MATCH(F565,'Step 4 Stage Discharge'!E$26:E$126,1),2))*(F565-INDEX('Step 4 Stage Discharge'!E$26:F$126,MATCH(F565,'Step 4 Stage Discharge'!E$26:E$126,1),1))/(INDEX('Step 4 Stage Discharge'!E$26:F$126,MATCH(F565,'Step 4 Stage Discharge'!E$26:E$126,1)+1,1)-INDEX('Step 4 Stage Discharge'!E$26:F$126,MATCH(F565,'Step 4 Stage Discharge'!E$26:E$126,1),1))</f>
        <v>0</v>
      </c>
      <c r="H565" s="149"/>
      <c r="I565" s="149">
        <f>INDEX('Step 4 Stage Discharge'!E$26:M$126,MATCH(F565,'Step 4 Stage Discharge'!E$26:E$126,1),9)+(INDEX('Step 4 Stage Discharge'!E$26:M$126,MATCH('Step 5 Routing'!F565,'Step 4 Stage Discharge'!E$26:E$126,1)+1,9)-INDEX('Step 4 Stage Discharge'!E$26:M$126,MATCH('Step 5 Routing'!F565,'Step 4 Stage Discharge'!E$26:E$126,1),9))*('Step 5 Routing'!F565-INDEX('Step 4 Stage Discharge'!E$26:M$126,MATCH('Step 5 Routing'!F565,'Step 4 Stage Discharge'!E$26:E$126,1),1))/(INDEX('Step 4 Stage Discharge'!E$26:M$126,MATCH('Step 5 Routing'!F565,'Step 4 Stage Discharge'!E$26:E$126,1)+1,1)-INDEX('Step 4 Stage Discharge'!E$26:M$126,MATCH('Step 5 Routing'!F565,'Step 4 Stage Discharge'!E$26:E$126,1),1))</f>
        <v>4.3639431710317386E-3</v>
      </c>
      <c r="J565" s="149"/>
      <c r="K565" s="6">
        <f t="shared" si="41"/>
        <v>0</v>
      </c>
      <c r="L565" s="6">
        <f t="shared" si="42"/>
        <v>0</v>
      </c>
    </row>
    <row r="566" spans="1:12">
      <c r="A566">
        <f t="shared" si="43"/>
        <v>553</v>
      </c>
      <c r="B566" s="136">
        <f>IF(C$5=Data!D$3,'Step 2 Inflow Hydrograph'!H610,IF(C$5=Data!D$4,'Step 2 Inflow Hydrograph'!I610,IF(C$5=Data!D$5,'Step 2 Inflow Hydrograph'!J610,'Step 2 Inflow Hydrograph'!K610)))</f>
        <v>0</v>
      </c>
      <c r="C566" s="127"/>
      <c r="D566" s="6">
        <f t="shared" si="40"/>
        <v>0</v>
      </c>
      <c r="E566" s="6"/>
      <c r="F566" s="6">
        <f t="shared" si="44"/>
        <v>0</v>
      </c>
      <c r="G566" s="149">
        <f>INDEX('Step 4 Stage Discharge'!E$26:F$126,MATCH(F566,'Step 4 Stage Discharge'!E$26:E$126,1),2)+(INDEX('Step 4 Stage Discharge'!E$26:F$126,MATCH(F566,'Step 4 Stage Discharge'!E$26:E$126,1)+1,2)-INDEX('Step 4 Stage Discharge'!E$26:F$126,MATCH(F566,'Step 4 Stage Discharge'!E$26:E$126,1),2))*(F566-INDEX('Step 4 Stage Discharge'!E$26:F$126,MATCH(F566,'Step 4 Stage Discharge'!E$26:E$126,1),1))/(INDEX('Step 4 Stage Discharge'!E$26:F$126,MATCH(F566,'Step 4 Stage Discharge'!E$26:E$126,1)+1,1)-INDEX('Step 4 Stage Discharge'!E$26:F$126,MATCH(F566,'Step 4 Stage Discharge'!E$26:E$126,1),1))</f>
        <v>0</v>
      </c>
      <c r="H566" s="149"/>
      <c r="I566" s="149">
        <f>INDEX('Step 4 Stage Discharge'!E$26:M$126,MATCH(F566,'Step 4 Stage Discharge'!E$26:E$126,1),9)+(INDEX('Step 4 Stage Discharge'!E$26:M$126,MATCH('Step 5 Routing'!F566,'Step 4 Stage Discharge'!E$26:E$126,1)+1,9)-INDEX('Step 4 Stage Discharge'!E$26:M$126,MATCH('Step 5 Routing'!F566,'Step 4 Stage Discharge'!E$26:E$126,1),9))*('Step 5 Routing'!F566-INDEX('Step 4 Stage Discharge'!E$26:M$126,MATCH('Step 5 Routing'!F566,'Step 4 Stage Discharge'!E$26:E$126,1),1))/(INDEX('Step 4 Stage Discharge'!E$26:M$126,MATCH('Step 5 Routing'!F566,'Step 4 Stage Discharge'!E$26:E$126,1)+1,1)-INDEX('Step 4 Stage Discharge'!E$26:M$126,MATCH('Step 5 Routing'!F566,'Step 4 Stage Discharge'!E$26:E$126,1),1))</f>
        <v>4.3639431710317386E-3</v>
      </c>
      <c r="J566" s="149"/>
      <c r="K566" s="6">
        <f t="shared" si="41"/>
        <v>0</v>
      </c>
      <c r="L566" s="6">
        <f t="shared" si="42"/>
        <v>0</v>
      </c>
    </row>
    <row r="567" spans="1:12">
      <c r="A567">
        <f t="shared" si="43"/>
        <v>554</v>
      </c>
      <c r="B567" s="136">
        <f>IF(C$5=Data!D$3,'Step 2 Inflow Hydrograph'!H611,IF(C$5=Data!D$4,'Step 2 Inflow Hydrograph'!I611,IF(C$5=Data!D$5,'Step 2 Inflow Hydrograph'!J611,'Step 2 Inflow Hydrograph'!K611)))</f>
        <v>0</v>
      </c>
      <c r="C567" s="127"/>
      <c r="D567" s="6">
        <f t="shared" si="40"/>
        <v>0</v>
      </c>
      <c r="E567" s="6"/>
      <c r="F567" s="6">
        <f t="shared" si="44"/>
        <v>0</v>
      </c>
      <c r="G567" s="149">
        <f>INDEX('Step 4 Stage Discharge'!E$26:F$126,MATCH(F567,'Step 4 Stage Discharge'!E$26:E$126,1),2)+(INDEX('Step 4 Stage Discharge'!E$26:F$126,MATCH(F567,'Step 4 Stage Discharge'!E$26:E$126,1)+1,2)-INDEX('Step 4 Stage Discharge'!E$26:F$126,MATCH(F567,'Step 4 Stage Discharge'!E$26:E$126,1),2))*(F567-INDEX('Step 4 Stage Discharge'!E$26:F$126,MATCH(F567,'Step 4 Stage Discharge'!E$26:E$126,1),1))/(INDEX('Step 4 Stage Discharge'!E$26:F$126,MATCH(F567,'Step 4 Stage Discharge'!E$26:E$126,1)+1,1)-INDEX('Step 4 Stage Discharge'!E$26:F$126,MATCH(F567,'Step 4 Stage Discharge'!E$26:E$126,1),1))</f>
        <v>0</v>
      </c>
      <c r="H567" s="149"/>
      <c r="I567" s="149">
        <f>INDEX('Step 4 Stage Discharge'!E$26:M$126,MATCH(F567,'Step 4 Stage Discharge'!E$26:E$126,1),9)+(INDEX('Step 4 Stage Discharge'!E$26:M$126,MATCH('Step 5 Routing'!F567,'Step 4 Stage Discharge'!E$26:E$126,1)+1,9)-INDEX('Step 4 Stage Discharge'!E$26:M$126,MATCH('Step 5 Routing'!F567,'Step 4 Stage Discharge'!E$26:E$126,1),9))*('Step 5 Routing'!F567-INDEX('Step 4 Stage Discharge'!E$26:M$126,MATCH('Step 5 Routing'!F567,'Step 4 Stage Discharge'!E$26:E$126,1),1))/(INDEX('Step 4 Stage Discharge'!E$26:M$126,MATCH('Step 5 Routing'!F567,'Step 4 Stage Discharge'!E$26:E$126,1)+1,1)-INDEX('Step 4 Stage Discharge'!E$26:M$126,MATCH('Step 5 Routing'!F567,'Step 4 Stage Discharge'!E$26:E$126,1),1))</f>
        <v>4.3639431710317386E-3</v>
      </c>
      <c r="J567" s="149"/>
      <c r="K567" s="6">
        <f t="shared" si="41"/>
        <v>0</v>
      </c>
      <c r="L567" s="6">
        <f t="shared" si="42"/>
        <v>0</v>
      </c>
    </row>
    <row r="568" spans="1:12">
      <c r="A568">
        <f t="shared" si="43"/>
        <v>555</v>
      </c>
      <c r="B568" s="136">
        <f>IF(C$5=Data!D$3,'Step 2 Inflow Hydrograph'!H612,IF(C$5=Data!D$4,'Step 2 Inflow Hydrograph'!I612,IF(C$5=Data!D$5,'Step 2 Inflow Hydrograph'!J612,'Step 2 Inflow Hydrograph'!K612)))</f>
        <v>0</v>
      </c>
      <c r="C568" s="127"/>
      <c r="D568" s="6">
        <f t="shared" si="40"/>
        <v>0</v>
      </c>
      <c r="E568" s="6"/>
      <c r="F568" s="6">
        <f t="shared" si="44"/>
        <v>0</v>
      </c>
      <c r="G568" s="149">
        <f>INDEX('Step 4 Stage Discharge'!E$26:F$126,MATCH(F568,'Step 4 Stage Discharge'!E$26:E$126,1),2)+(INDEX('Step 4 Stage Discharge'!E$26:F$126,MATCH(F568,'Step 4 Stage Discharge'!E$26:E$126,1)+1,2)-INDEX('Step 4 Stage Discharge'!E$26:F$126,MATCH(F568,'Step 4 Stage Discharge'!E$26:E$126,1),2))*(F568-INDEX('Step 4 Stage Discharge'!E$26:F$126,MATCH(F568,'Step 4 Stage Discharge'!E$26:E$126,1),1))/(INDEX('Step 4 Stage Discharge'!E$26:F$126,MATCH(F568,'Step 4 Stage Discharge'!E$26:E$126,1)+1,1)-INDEX('Step 4 Stage Discharge'!E$26:F$126,MATCH(F568,'Step 4 Stage Discharge'!E$26:E$126,1),1))</f>
        <v>0</v>
      </c>
      <c r="H568" s="149"/>
      <c r="I568" s="149">
        <f>INDEX('Step 4 Stage Discharge'!E$26:M$126,MATCH(F568,'Step 4 Stage Discharge'!E$26:E$126,1),9)+(INDEX('Step 4 Stage Discharge'!E$26:M$126,MATCH('Step 5 Routing'!F568,'Step 4 Stage Discharge'!E$26:E$126,1)+1,9)-INDEX('Step 4 Stage Discharge'!E$26:M$126,MATCH('Step 5 Routing'!F568,'Step 4 Stage Discharge'!E$26:E$126,1),9))*('Step 5 Routing'!F568-INDEX('Step 4 Stage Discharge'!E$26:M$126,MATCH('Step 5 Routing'!F568,'Step 4 Stage Discharge'!E$26:E$126,1),1))/(INDEX('Step 4 Stage Discharge'!E$26:M$126,MATCH('Step 5 Routing'!F568,'Step 4 Stage Discharge'!E$26:E$126,1)+1,1)-INDEX('Step 4 Stage Discharge'!E$26:M$126,MATCH('Step 5 Routing'!F568,'Step 4 Stage Discharge'!E$26:E$126,1),1))</f>
        <v>4.3639431710317386E-3</v>
      </c>
      <c r="J568" s="149"/>
      <c r="K568" s="6">
        <f t="shared" si="41"/>
        <v>0</v>
      </c>
      <c r="L568" s="6">
        <f t="shared" si="42"/>
        <v>0</v>
      </c>
    </row>
    <row r="569" spans="1:12">
      <c r="A569">
        <f t="shared" si="43"/>
        <v>556</v>
      </c>
      <c r="B569" s="136">
        <f>IF(C$5=Data!D$3,'Step 2 Inflow Hydrograph'!H613,IF(C$5=Data!D$4,'Step 2 Inflow Hydrograph'!I613,IF(C$5=Data!D$5,'Step 2 Inflow Hydrograph'!J613,'Step 2 Inflow Hydrograph'!K613)))</f>
        <v>0</v>
      </c>
      <c r="C569" s="127"/>
      <c r="D569" s="6">
        <f t="shared" si="40"/>
        <v>0</v>
      </c>
      <c r="E569" s="6"/>
      <c r="F569" s="6">
        <f t="shared" si="44"/>
        <v>0</v>
      </c>
      <c r="G569" s="149">
        <f>INDEX('Step 4 Stage Discharge'!E$26:F$126,MATCH(F569,'Step 4 Stage Discharge'!E$26:E$126,1),2)+(INDEX('Step 4 Stage Discharge'!E$26:F$126,MATCH(F569,'Step 4 Stage Discharge'!E$26:E$126,1)+1,2)-INDEX('Step 4 Stage Discharge'!E$26:F$126,MATCH(F569,'Step 4 Stage Discharge'!E$26:E$126,1),2))*(F569-INDEX('Step 4 Stage Discharge'!E$26:F$126,MATCH(F569,'Step 4 Stage Discharge'!E$26:E$126,1),1))/(INDEX('Step 4 Stage Discharge'!E$26:F$126,MATCH(F569,'Step 4 Stage Discharge'!E$26:E$126,1)+1,1)-INDEX('Step 4 Stage Discharge'!E$26:F$126,MATCH(F569,'Step 4 Stage Discharge'!E$26:E$126,1),1))</f>
        <v>0</v>
      </c>
      <c r="H569" s="149"/>
      <c r="I569" s="149">
        <f>INDEX('Step 4 Stage Discharge'!E$26:M$126,MATCH(F569,'Step 4 Stage Discharge'!E$26:E$126,1),9)+(INDEX('Step 4 Stage Discharge'!E$26:M$126,MATCH('Step 5 Routing'!F569,'Step 4 Stage Discharge'!E$26:E$126,1)+1,9)-INDEX('Step 4 Stage Discharge'!E$26:M$126,MATCH('Step 5 Routing'!F569,'Step 4 Stage Discharge'!E$26:E$126,1),9))*('Step 5 Routing'!F569-INDEX('Step 4 Stage Discharge'!E$26:M$126,MATCH('Step 5 Routing'!F569,'Step 4 Stage Discharge'!E$26:E$126,1),1))/(INDEX('Step 4 Stage Discharge'!E$26:M$126,MATCH('Step 5 Routing'!F569,'Step 4 Stage Discharge'!E$26:E$126,1)+1,1)-INDEX('Step 4 Stage Discharge'!E$26:M$126,MATCH('Step 5 Routing'!F569,'Step 4 Stage Discharge'!E$26:E$126,1),1))</f>
        <v>4.3639431710317386E-3</v>
      </c>
      <c r="J569" s="149"/>
      <c r="K569" s="6">
        <f t="shared" si="41"/>
        <v>0</v>
      </c>
      <c r="L569" s="6">
        <f t="shared" si="42"/>
        <v>0</v>
      </c>
    </row>
    <row r="570" spans="1:12">
      <c r="A570">
        <f t="shared" si="43"/>
        <v>557</v>
      </c>
      <c r="B570" s="136">
        <f>IF(C$5=Data!D$3,'Step 2 Inflow Hydrograph'!H614,IF(C$5=Data!D$4,'Step 2 Inflow Hydrograph'!I614,IF(C$5=Data!D$5,'Step 2 Inflow Hydrograph'!J614,'Step 2 Inflow Hydrograph'!K614)))</f>
        <v>0</v>
      </c>
      <c r="C570" s="127"/>
      <c r="D570" s="6">
        <f t="shared" si="40"/>
        <v>0</v>
      </c>
      <c r="E570" s="6"/>
      <c r="F570" s="6">
        <f t="shared" si="44"/>
        <v>0</v>
      </c>
      <c r="G570" s="149">
        <f>INDEX('Step 4 Stage Discharge'!E$26:F$126,MATCH(F570,'Step 4 Stage Discharge'!E$26:E$126,1),2)+(INDEX('Step 4 Stage Discharge'!E$26:F$126,MATCH(F570,'Step 4 Stage Discharge'!E$26:E$126,1)+1,2)-INDEX('Step 4 Stage Discharge'!E$26:F$126,MATCH(F570,'Step 4 Stage Discharge'!E$26:E$126,1),2))*(F570-INDEX('Step 4 Stage Discharge'!E$26:F$126,MATCH(F570,'Step 4 Stage Discharge'!E$26:E$126,1),1))/(INDEX('Step 4 Stage Discharge'!E$26:F$126,MATCH(F570,'Step 4 Stage Discharge'!E$26:E$126,1)+1,1)-INDEX('Step 4 Stage Discharge'!E$26:F$126,MATCH(F570,'Step 4 Stage Discharge'!E$26:E$126,1),1))</f>
        <v>0</v>
      </c>
      <c r="H570" s="149"/>
      <c r="I570" s="149">
        <f>INDEX('Step 4 Stage Discharge'!E$26:M$126,MATCH(F570,'Step 4 Stage Discharge'!E$26:E$126,1),9)+(INDEX('Step 4 Stage Discharge'!E$26:M$126,MATCH('Step 5 Routing'!F570,'Step 4 Stage Discharge'!E$26:E$126,1)+1,9)-INDEX('Step 4 Stage Discharge'!E$26:M$126,MATCH('Step 5 Routing'!F570,'Step 4 Stage Discharge'!E$26:E$126,1),9))*('Step 5 Routing'!F570-INDEX('Step 4 Stage Discharge'!E$26:M$126,MATCH('Step 5 Routing'!F570,'Step 4 Stage Discharge'!E$26:E$126,1),1))/(INDEX('Step 4 Stage Discharge'!E$26:M$126,MATCH('Step 5 Routing'!F570,'Step 4 Stage Discharge'!E$26:E$126,1)+1,1)-INDEX('Step 4 Stage Discharge'!E$26:M$126,MATCH('Step 5 Routing'!F570,'Step 4 Stage Discharge'!E$26:E$126,1),1))</f>
        <v>4.3639431710317386E-3</v>
      </c>
      <c r="J570" s="149"/>
      <c r="K570" s="6">
        <f t="shared" si="41"/>
        <v>0</v>
      </c>
      <c r="L570" s="6">
        <f t="shared" si="42"/>
        <v>0</v>
      </c>
    </row>
    <row r="571" spans="1:12">
      <c r="A571">
        <f t="shared" si="43"/>
        <v>558</v>
      </c>
      <c r="B571" s="136">
        <f>IF(C$5=Data!D$3,'Step 2 Inflow Hydrograph'!H615,IF(C$5=Data!D$4,'Step 2 Inflow Hydrograph'!I615,IF(C$5=Data!D$5,'Step 2 Inflow Hydrograph'!J615,'Step 2 Inflow Hydrograph'!K615)))</f>
        <v>0</v>
      </c>
      <c r="C571" s="127"/>
      <c r="D571" s="6">
        <f t="shared" si="40"/>
        <v>0</v>
      </c>
      <c r="E571" s="6"/>
      <c r="F571" s="6">
        <f t="shared" si="44"/>
        <v>0</v>
      </c>
      <c r="G571" s="149">
        <f>INDEX('Step 4 Stage Discharge'!E$26:F$126,MATCH(F571,'Step 4 Stage Discharge'!E$26:E$126,1),2)+(INDEX('Step 4 Stage Discharge'!E$26:F$126,MATCH(F571,'Step 4 Stage Discharge'!E$26:E$126,1)+1,2)-INDEX('Step 4 Stage Discharge'!E$26:F$126,MATCH(F571,'Step 4 Stage Discharge'!E$26:E$126,1),2))*(F571-INDEX('Step 4 Stage Discharge'!E$26:F$126,MATCH(F571,'Step 4 Stage Discharge'!E$26:E$126,1),1))/(INDEX('Step 4 Stage Discharge'!E$26:F$126,MATCH(F571,'Step 4 Stage Discharge'!E$26:E$126,1)+1,1)-INDEX('Step 4 Stage Discharge'!E$26:F$126,MATCH(F571,'Step 4 Stage Discharge'!E$26:E$126,1),1))</f>
        <v>0</v>
      </c>
      <c r="H571" s="149"/>
      <c r="I571" s="149">
        <f>INDEX('Step 4 Stage Discharge'!E$26:M$126,MATCH(F571,'Step 4 Stage Discharge'!E$26:E$126,1),9)+(INDEX('Step 4 Stage Discharge'!E$26:M$126,MATCH('Step 5 Routing'!F571,'Step 4 Stage Discharge'!E$26:E$126,1)+1,9)-INDEX('Step 4 Stage Discharge'!E$26:M$126,MATCH('Step 5 Routing'!F571,'Step 4 Stage Discharge'!E$26:E$126,1),9))*('Step 5 Routing'!F571-INDEX('Step 4 Stage Discharge'!E$26:M$126,MATCH('Step 5 Routing'!F571,'Step 4 Stage Discharge'!E$26:E$126,1),1))/(INDEX('Step 4 Stage Discharge'!E$26:M$126,MATCH('Step 5 Routing'!F571,'Step 4 Stage Discharge'!E$26:E$126,1)+1,1)-INDEX('Step 4 Stage Discharge'!E$26:M$126,MATCH('Step 5 Routing'!F571,'Step 4 Stage Discharge'!E$26:E$126,1),1))</f>
        <v>4.3639431710317386E-3</v>
      </c>
      <c r="J571" s="149"/>
      <c r="K571" s="6">
        <f t="shared" si="41"/>
        <v>0</v>
      </c>
      <c r="L571" s="6">
        <f t="shared" si="42"/>
        <v>0</v>
      </c>
    </row>
    <row r="572" spans="1:12">
      <c r="A572">
        <f t="shared" si="43"/>
        <v>559</v>
      </c>
      <c r="B572" s="136">
        <f>IF(C$5=Data!D$3,'Step 2 Inflow Hydrograph'!H616,IF(C$5=Data!D$4,'Step 2 Inflow Hydrograph'!I616,IF(C$5=Data!D$5,'Step 2 Inflow Hydrograph'!J616,'Step 2 Inflow Hydrograph'!K616)))</f>
        <v>0</v>
      </c>
      <c r="C572" s="127"/>
      <c r="D572" s="6">
        <f t="shared" si="40"/>
        <v>0</v>
      </c>
      <c r="E572" s="6"/>
      <c r="F572" s="6">
        <f t="shared" si="44"/>
        <v>0</v>
      </c>
      <c r="G572" s="149">
        <f>INDEX('Step 4 Stage Discharge'!E$26:F$126,MATCH(F572,'Step 4 Stage Discharge'!E$26:E$126,1),2)+(INDEX('Step 4 Stage Discharge'!E$26:F$126,MATCH(F572,'Step 4 Stage Discharge'!E$26:E$126,1)+1,2)-INDEX('Step 4 Stage Discharge'!E$26:F$126,MATCH(F572,'Step 4 Stage Discharge'!E$26:E$126,1),2))*(F572-INDEX('Step 4 Stage Discharge'!E$26:F$126,MATCH(F572,'Step 4 Stage Discharge'!E$26:E$126,1),1))/(INDEX('Step 4 Stage Discharge'!E$26:F$126,MATCH(F572,'Step 4 Stage Discharge'!E$26:E$126,1)+1,1)-INDEX('Step 4 Stage Discharge'!E$26:F$126,MATCH(F572,'Step 4 Stage Discharge'!E$26:E$126,1),1))</f>
        <v>0</v>
      </c>
      <c r="H572" s="149"/>
      <c r="I572" s="149">
        <f>INDEX('Step 4 Stage Discharge'!E$26:M$126,MATCH(F572,'Step 4 Stage Discharge'!E$26:E$126,1),9)+(INDEX('Step 4 Stage Discharge'!E$26:M$126,MATCH('Step 5 Routing'!F572,'Step 4 Stage Discharge'!E$26:E$126,1)+1,9)-INDEX('Step 4 Stage Discharge'!E$26:M$126,MATCH('Step 5 Routing'!F572,'Step 4 Stage Discharge'!E$26:E$126,1),9))*('Step 5 Routing'!F572-INDEX('Step 4 Stage Discharge'!E$26:M$126,MATCH('Step 5 Routing'!F572,'Step 4 Stage Discharge'!E$26:E$126,1),1))/(INDEX('Step 4 Stage Discharge'!E$26:M$126,MATCH('Step 5 Routing'!F572,'Step 4 Stage Discharge'!E$26:E$126,1)+1,1)-INDEX('Step 4 Stage Discharge'!E$26:M$126,MATCH('Step 5 Routing'!F572,'Step 4 Stage Discharge'!E$26:E$126,1),1))</f>
        <v>4.3639431710317386E-3</v>
      </c>
      <c r="J572" s="149"/>
      <c r="K572" s="6">
        <f t="shared" si="41"/>
        <v>0</v>
      </c>
      <c r="L572" s="6">
        <f t="shared" si="42"/>
        <v>0</v>
      </c>
    </row>
    <row r="573" spans="1:12">
      <c r="A573">
        <f t="shared" si="43"/>
        <v>560</v>
      </c>
      <c r="B573" s="136">
        <f>IF(C$5=Data!D$3,'Step 2 Inflow Hydrograph'!H617,IF(C$5=Data!D$4,'Step 2 Inflow Hydrograph'!I617,IF(C$5=Data!D$5,'Step 2 Inflow Hydrograph'!J617,'Step 2 Inflow Hydrograph'!K617)))</f>
        <v>0</v>
      </c>
      <c r="C573" s="127"/>
      <c r="D573" s="6">
        <f t="shared" si="40"/>
        <v>0</v>
      </c>
      <c r="E573" s="6"/>
      <c r="F573" s="6">
        <f t="shared" si="44"/>
        <v>0</v>
      </c>
      <c r="G573" s="149">
        <f>INDEX('Step 4 Stage Discharge'!E$26:F$126,MATCH(F573,'Step 4 Stage Discharge'!E$26:E$126,1),2)+(INDEX('Step 4 Stage Discharge'!E$26:F$126,MATCH(F573,'Step 4 Stage Discharge'!E$26:E$126,1)+1,2)-INDEX('Step 4 Stage Discharge'!E$26:F$126,MATCH(F573,'Step 4 Stage Discharge'!E$26:E$126,1),2))*(F573-INDEX('Step 4 Stage Discharge'!E$26:F$126,MATCH(F573,'Step 4 Stage Discharge'!E$26:E$126,1),1))/(INDEX('Step 4 Stage Discharge'!E$26:F$126,MATCH(F573,'Step 4 Stage Discharge'!E$26:E$126,1)+1,1)-INDEX('Step 4 Stage Discharge'!E$26:F$126,MATCH(F573,'Step 4 Stage Discharge'!E$26:E$126,1),1))</f>
        <v>0</v>
      </c>
      <c r="H573" s="149"/>
      <c r="I573" s="149">
        <f>INDEX('Step 4 Stage Discharge'!E$26:M$126,MATCH(F573,'Step 4 Stage Discharge'!E$26:E$126,1),9)+(INDEX('Step 4 Stage Discharge'!E$26:M$126,MATCH('Step 5 Routing'!F573,'Step 4 Stage Discharge'!E$26:E$126,1)+1,9)-INDEX('Step 4 Stage Discharge'!E$26:M$126,MATCH('Step 5 Routing'!F573,'Step 4 Stage Discharge'!E$26:E$126,1),9))*('Step 5 Routing'!F573-INDEX('Step 4 Stage Discharge'!E$26:M$126,MATCH('Step 5 Routing'!F573,'Step 4 Stage Discharge'!E$26:E$126,1),1))/(INDEX('Step 4 Stage Discharge'!E$26:M$126,MATCH('Step 5 Routing'!F573,'Step 4 Stage Discharge'!E$26:E$126,1)+1,1)-INDEX('Step 4 Stage Discharge'!E$26:M$126,MATCH('Step 5 Routing'!F573,'Step 4 Stage Discharge'!E$26:E$126,1),1))</f>
        <v>4.3639431710317386E-3</v>
      </c>
      <c r="J573" s="149"/>
      <c r="K573" s="6">
        <f t="shared" si="41"/>
        <v>0</v>
      </c>
      <c r="L573" s="6">
        <f t="shared" si="42"/>
        <v>0</v>
      </c>
    </row>
    <row r="574" spans="1:12">
      <c r="A574">
        <f t="shared" si="43"/>
        <v>561</v>
      </c>
      <c r="B574" s="136">
        <f>IF(C$5=Data!D$3,'Step 2 Inflow Hydrograph'!H618,IF(C$5=Data!D$4,'Step 2 Inflow Hydrograph'!I618,IF(C$5=Data!D$5,'Step 2 Inflow Hydrograph'!J618,'Step 2 Inflow Hydrograph'!K618)))</f>
        <v>0</v>
      </c>
      <c r="C574" s="127"/>
      <c r="D574" s="6">
        <f t="shared" si="40"/>
        <v>0</v>
      </c>
      <c r="E574" s="6"/>
      <c r="F574" s="6">
        <f t="shared" si="44"/>
        <v>0</v>
      </c>
      <c r="G574" s="149">
        <f>INDEX('Step 4 Stage Discharge'!E$26:F$126,MATCH(F574,'Step 4 Stage Discharge'!E$26:E$126,1),2)+(INDEX('Step 4 Stage Discharge'!E$26:F$126,MATCH(F574,'Step 4 Stage Discharge'!E$26:E$126,1)+1,2)-INDEX('Step 4 Stage Discharge'!E$26:F$126,MATCH(F574,'Step 4 Stage Discharge'!E$26:E$126,1),2))*(F574-INDEX('Step 4 Stage Discharge'!E$26:F$126,MATCH(F574,'Step 4 Stage Discharge'!E$26:E$126,1),1))/(INDEX('Step 4 Stage Discharge'!E$26:F$126,MATCH(F574,'Step 4 Stage Discharge'!E$26:E$126,1)+1,1)-INDEX('Step 4 Stage Discharge'!E$26:F$126,MATCH(F574,'Step 4 Stage Discharge'!E$26:E$126,1),1))</f>
        <v>0</v>
      </c>
      <c r="H574" s="149"/>
      <c r="I574" s="149">
        <f>INDEX('Step 4 Stage Discharge'!E$26:M$126,MATCH(F574,'Step 4 Stage Discharge'!E$26:E$126,1),9)+(INDEX('Step 4 Stage Discharge'!E$26:M$126,MATCH('Step 5 Routing'!F574,'Step 4 Stage Discharge'!E$26:E$126,1)+1,9)-INDEX('Step 4 Stage Discharge'!E$26:M$126,MATCH('Step 5 Routing'!F574,'Step 4 Stage Discharge'!E$26:E$126,1),9))*('Step 5 Routing'!F574-INDEX('Step 4 Stage Discharge'!E$26:M$126,MATCH('Step 5 Routing'!F574,'Step 4 Stage Discharge'!E$26:E$126,1),1))/(INDEX('Step 4 Stage Discharge'!E$26:M$126,MATCH('Step 5 Routing'!F574,'Step 4 Stage Discharge'!E$26:E$126,1)+1,1)-INDEX('Step 4 Stage Discharge'!E$26:M$126,MATCH('Step 5 Routing'!F574,'Step 4 Stage Discharge'!E$26:E$126,1),1))</f>
        <v>4.3639431710317386E-3</v>
      </c>
      <c r="J574" s="149"/>
      <c r="K574" s="6">
        <f t="shared" si="41"/>
        <v>0</v>
      </c>
      <c r="L574" s="6">
        <f t="shared" si="42"/>
        <v>0</v>
      </c>
    </row>
    <row r="575" spans="1:12">
      <c r="A575">
        <f t="shared" si="43"/>
        <v>562</v>
      </c>
      <c r="B575" s="136">
        <f>IF(C$5=Data!D$3,'Step 2 Inflow Hydrograph'!H619,IF(C$5=Data!D$4,'Step 2 Inflow Hydrograph'!I619,IF(C$5=Data!D$5,'Step 2 Inflow Hydrograph'!J619,'Step 2 Inflow Hydrograph'!K619)))</f>
        <v>0</v>
      </c>
      <c r="C575" s="127"/>
      <c r="D575" s="6">
        <f t="shared" si="40"/>
        <v>0</v>
      </c>
      <c r="E575" s="6"/>
      <c r="F575" s="6">
        <f t="shared" si="44"/>
        <v>0</v>
      </c>
      <c r="G575" s="149">
        <f>INDEX('Step 4 Stage Discharge'!E$26:F$126,MATCH(F575,'Step 4 Stage Discharge'!E$26:E$126,1),2)+(INDEX('Step 4 Stage Discharge'!E$26:F$126,MATCH(F575,'Step 4 Stage Discharge'!E$26:E$126,1)+1,2)-INDEX('Step 4 Stage Discharge'!E$26:F$126,MATCH(F575,'Step 4 Stage Discharge'!E$26:E$126,1),2))*(F575-INDEX('Step 4 Stage Discharge'!E$26:F$126,MATCH(F575,'Step 4 Stage Discharge'!E$26:E$126,1),1))/(INDEX('Step 4 Stage Discharge'!E$26:F$126,MATCH(F575,'Step 4 Stage Discharge'!E$26:E$126,1)+1,1)-INDEX('Step 4 Stage Discharge'!E$26:F$126,MATCH(F575,'Step 4 Stage Discharge'!E$26:E$126,1),1))</f>
        <v>0</v>
      </c>
      <c r="H575" s="149"/>
      <c r="I575" s="149">
        <f>INDEX('Step 4 Stage Discharge'!E$26:M$126,MATCH(F575,'Step 4 Stage Discharge'!E$26:E$126,1),9)+(INDEX('Step 4 Stage Discharge'!E$26:M$126,MATCH('Step 5 Routing'!F575,'Step 4 Stage Discharge'!E$26:E$126,1)+1,9)-INDEX('Step 4 Stage Discharge'!E$26:M$126,MATCH('Step 5 Routing'!F575,'Step 4 Stage Discharge'!E$26:E$126,1),9))*('Step 5 Routing'!F575-INDEX('Step 4 Stage Discharge'!E$26:M$126,MATCH('Step 5 Routing'!F575,'Step 4 Stage Discharge'!E$26:E$126,1),1))/(INDEX('Step 4 Stage Discharge'!E$26:M$126,MATCH('Step 5 Routing'!F575,'Step 4 Stage Discharge'!E$26:E$126,1)+1,1)-INDEX('Step 4 Stage Discharge'!E$26:M$126,MATCH('Step 5 Routing'!F575,'Step 4 Stage Discharge'!E$26:E$126,1),1))</f>
        <v>4.3639431710317386E-3</v>
      </c>
      <c r="J575" s="149"/>
      <c r="K575" s="6">
        <f t="shared" si="41"/>
        <v>0</v>
      </c>
      <c r="L575" s="6">
        <f t="shared" si="42"/>
        <v>0</v>
      </c>
    </row>
    <row r="576" spans="1:12">
      <c r="A576">
        <f t="shared" si="43"/>
        <v>563</v>
      </c>
      <c r="B576" s="136">
        <f>IF(C$5=Data!D$3,'Step 2 Inflow Hydrograph'!H620,IF(C$5=Data!D$4,'Step 2 Inflow Hydrograph'!I620,IF(C$5=Data!D$5,'Step 2 Inflow Hydrograph'!J620,'Step 2 Inflow Hydrograph'!K620)))</f>
        <v>0</v>
      </c>
      <c r="C576" s="127"/>
      <c r="D576" s="6">
        <f t="shared" si="40"/>
        <v>0</v>
      </c>
      <c r="E576" s="6"/>
      <c r="F576" s="6">
        <f t="shared" si="44"/>
        <v>0</v>
      </c>
      <c r="G576" s="149">
        <f>INDEX('Step 4 Stage Discharge'!E$26:F$126,MATCH(F576,'Step 4 Stage Discharge'!E$26:E$126,1),2)+(INDEX('Step 4 Stage Discharge'!E$26:F$126,MATCH(F576,'Step 4 Stage Discharge'!E$26:E$126,1)+1,2)-INDEX('Step 4 Stage Discharge'!E$26:F$126,MATCH(F576,'Step 4 Stage Discharge'!E$26:E$126,1),2))*(F576-INDEX('Step 4 Stage Discharge'!E$26:F$126,MATCH(F576,'Step 4 Stage Discharge'!E$26:E$126,1),1))/(INDEX('Step 4 Stage Discharge'!E$26:F$126,MATCH(F576,'Step 4 Stage Discharge'!E$26:E$126,1)+1,1)-INDEX('Step 4 Stage Discharge'!E$26:F$126,MATCH(F576,'Step 4 Stage Discharge'!E$26:E$126,1),1))</f>
        <v>0</v>
      </c>
      <c r="H576" s="149"/>
      <c r="I576" s="149">
        <f>INDEX('Step 4 Stage Discharge'!E$26:M$126,MATCH(F576,'Step 4 Stage Discharge'!E$26:E$126,1),9)+(INDEX('Step 4 Stage Discharge'!E$26:M$126,MATCH('Step 5 Routing'!F576,'Step 4 Stage Discharge'!E$26:E$126,1)+1,9)-INDEX('Step 4 Stage Discharge'!E$26:M$126,MATCH('Step 5 Routing'!F576,'Step 4 Stage Discharge'!E$26:E$126,1),9))*('Step 5 Routing'!F576-INDEX('Step 4 Stage Discharge'!E$26:M$126,MATCH('Step 5 Routing'!F576,'Step 4 Stage Discharge'!E$26:E$126,1),1))/(INDEX('Step 4 Stage Discharge'!E$26:M$126,MATCH('Step 5 Routing'!F576,'Step 4 Stage Discharge'!E$26:E$126,1)+1,1)-INDEX('Step 4 Stage Discharge'!E$26:M$126,MATCH('Step 5 Routing'!F576,'Step 4 Stage Discharge'!E$26:E$126,1),1))</f>
        <v>4.3639431710317386E-3</v>
      </c>
      <c r="J576" s="149"/>
      <c r="K576" s="6">
        <f t="shared" si="41"/>
        <v>0</v>
      </c>
      <c r="L576" s="6">
        <f t="shared" si="42"/>
        <v>0</v>
      </c>
    </row>
    <row r="577" spans="1:12">
      <c r="A577">
        <f t="shared" si="43"/>
        <v>564</v>
      </c>
      <c r="B577" s="136">
        <f>IF(C$5=Data!D$3,'Step 2 Inflow Hydrograph'!H621,IF(C$5=Data!D$4,'Step 2 Inflow Hydrograph'!I621,IF(C$5=Data!D$5,'Step 2 Inflow Hydrograph'!J621,'Step 2 Inflow Hydrograph'!K621)))</f>
        <v>0</v>
      </c>
      <c r="C577" s="127"/>
      <c r="D577" s="6">
        <f t="shared" si="40"/>
        <v>0</v>
      </c>
      <c r="E577" s="6"/>
      <c r="F577" s="6">
        <f t="shared" si="44"/>
        <v>0</v>
      </c>
      <c r="G577" s="149">
        <f>INDEX('Step 4 Stage Discharge'!E$26:F$126,MATCH(F577,'Step 4 Stage Discharge'!E$26:E$126,1),2)+(INDEX('Step 4 Stage Discharge'!E$26:F$126,MATCH(F577,'Step 4 Stage Discharge'!E$26:E$126,1)+1,2)-INDEX('Step 4 Stage Discharge'!E$26:F$126,MATCH(F577,'Step 4 Stage Discharge'!E$26:E$126,1),2))*(F577-INDEX('Step 4 Stage Discharge'!E$26:F$126,MATCH(F577,'Step 4 Stage Discharge'!E$26:E$126,1),1))/(INDEX('Step 4 Stage Discharge'!E$26:F$126,MATCH(F577,'Step 4 Stage Discharge'!E$26:E$126,1)+1,1)-INDEX('Step 4 Stage Discharge'!E$26:F$126,MATCH(F577,'Step 4 Stage Discharge'!E$26:E$126,1),1))</f>
        <v>0</v>
      </c>
      <c r="H577" s="149"/>
      <c r="I577" s="149">
        <f>INDEX('Step 4 Stage Discharge'!E$26:M$126,MATCH(F577,'Step 4 Stage Discharge'!E$26:E$126,1),9)+(INDEX('Step 4 Stage Discharge'!E$26:M$126,MATCH('Step 5 Routing'!F577,'Step 4 Stage Discharge'!E$26:E$126,1)+1,9)-INDEX('Step 4 Stage Discharge'!E$26:M$126,MATCH('Step 5 Routing'!F577,'Step 4 Stage Discharge'!E$26:E$126,1),9))*('Step 5 Routing'!F577-INDEX('Step 4 Stage Discharge'!E$26:M$126,MATCH('Step 5 Routing'!F577,'Step 4 Stage Discharge'!E$26:E$126,1),1))/(INDEX('Step 4 Stage Discharge'!E$26:M$126,MATCH('Step 5 Routing'!F577,'Step 4 Stage Discharge'!E$26:E$126,1)+1,1)-INDEX('Step 4 Stage Discharge'!E$26:M$126,MATCH('Step 5 Routing'!F577,'Step 4 Stage Discharge'!E$26:E$126,1),1))</f>
        <v>4.3639431710317386E-3</v>
      </c>
      <c r="J577" s="149"/>
      <c r="K577" s="6">
        <f t="shared" si="41"/>
        <v>0</v>
      </c>
      <c r="L577" s="6">
        <f t="shared" si="42"/>
        <v>0</v>
      </c>
    </row>
    <row r="578" spans="1:12">
      <c r="A578">
        <f t="shared" si="43"/>
        <v>565</v>
      </c>
      <c r="B578" s="136">
        <f>IF(C$5=Data!D$3,'Step 2 Inflow Hydrograph'!H622,IF(C$5=Data!D$4,'Step 2 Inflow Hydrograph'!I622,IF(C$5=Data!D$5,'Step 2 Inflow Hydrograph'!J622,'Step 2 Inflow Hydrograph'!K622)))</f>
        <v>0</v>
      </c>
      <c r="C578" s="127"/>
      <c r="D578" s="6">
        <f t="shared" si="40"/>
        <v>0</v>
      </c>
      <c r="E578" s="6"/>
      <c r="F578" s="6">
        <f t="shared" si="44"/>
        <v>0</v>
      </c>
      <c r="G578" s="149">
        <f>INDEX('Step 4 Stage Discharge'!E$26:F$126,MATCH(F578,'Step 4 Stage Discharge'!E$26:E$126,1),2)+(INDEX('Step 4 Stage Discharge'!E$26:F$126,MATCH(F578,'Step 4 Stage Discharge'!E$26:E$126,1)+1,2)-INDEX('Step 4 Stage Discharge'!E$26:F$126,MATCH(F578,'Step 4 Stage Discharge'!E$26:E$126,1),2))*(F578-INDEX('Step 4 Stage Discharge'!E$26:F$126,MATCH(F578,'Step 4 Stage Discharge'!E$26:E$126,1),1))/(INDEX('Step 4 Stage Discharge'!E$26:F$126,MATCH(F578,'Step 4 Stage Discharge'!E$26:E$126,1)+1,1)-INDEX('Step 4 Stage Discharge'!E$26:F$126,MATCH(F578,'Step 4 Stage Discharge'!E$26:E$126,1),1))</f>
        <v>0</v>
      </c>
      <c r="H578" s="149"/>
      <c r="I578" s="149">
        <f>INDEX('Step 4 Stage Discharge'!E$26:M$126,MATCH(F578,'Step 4 Stage Discharge'!E$26:E$126,1),9)+(INDEX('Step 4 Stage Discharge'!E$26:M$126,MATCH('Step 5 Routing'!F578,'Step 4 Stage Discharge'!E$26:E$126,1)+1,9)-INDEX('Step 4 Stage Discharge'!E$26:M$126,MATCH('Step 5 Routing'!F578,'Step 4 Stage Discharge'!E$26:E$126,1),9))*('Step 5 Routing'!F578-INDEX('Step 4 Stage Discharge'!E$26:M$126,MATCH('Step 5 Routing'!F578,'Step 4 Stage Discharge'!E$26:E$126,1),1))/(INDEX('Step 4 Stage Discharge'!E$26:M$126,MATCH('Step 5 Routing'!F578,'Step 4 Stage Discharge'!E$26:E$126,1)+1,1)-INDEX('Step 4 Stage Discharge'!E$26:M$126,MATCH('Step 5 Routing'!F578,'Step 4 Stage Discharge'!E$26:E$126,1),1))</f>
        <v>4.3639431710317386E-3</v>
      </c>
      <c r="J578" s="149"/>
      <c r="K578" s="6">
        <f t="shared" si="41"/>
        <v>0</v>
      </c>
      <c r="L578" s="6">
        <f t="shared" si="42"/>
        <v>0</v>
      </c>
    </row>
    <row r="579" spans="1:12">
      <c r="A579">
        <f t="shared" si="43"/>
        <v>566</v>
      </c>
      <c r="B579" s="136">
        <f>IF(C$5=Data!D$3,'Step 2 Inflow Hydrograph'!H623,IF(C$5=Data!D$4,'Step 2 Inflow Hydrograph'!I623,IF(C$5=Data!D$5,'Step 2 Inflow Hydrograph'!J623,'Step 2 Inflow Hydrograph'!K623)))</f>
        <v>0</v>
      </c>
      <c r="C579" s="127"/>
      <c r="D579" s="6">
        <f t="shared" si="40"/>
        <v>0</v>
      </c>
      <c r="E579" s="6"/>
      <c r="F579" s="6">
        <f t="shared" si="44"/>
        <v>0</v>
      </c>
      <c r="G579" s="149">
        <f>INDEX('Step 4 Stage Discharge'!E$26:F$126,MATCH(F579,'Step 4 Stage Discharge'!E$26:E$126,1),2)+(INDEX('Step 4 Stage Discharge'!E$26:F$126,MATCH(F579,'Step 4 Stage Discharge'!E$26:E$126,1)+1,2)-INDEX('Step 4 Stage Discharge'!E$26:F$126,MATCH(F579,'Step 4 Stage Discharge'!E$26:E$126,1),2))*(F579-INDEX('Step 4 Stage Discharge'!E$26:F$126,MATCH(F579,'Step 4 Stage Discharge'!E$26:E$126,1),1))/(INDEX('Step 4 Stage Discharge'!E$26:F$126,MATCH(F579,'Step 4 Stage Discharge'!E$26:E$126,1)+1,1)-INDEX('Step 4 Stage Discharge'!E$26:F$126,MATCH(F579,'Step 4 Stage Discharge'!E$26:E$126,1),1))</f>
        <v>0</v>
      </c>
      <c r="H579" s="149"/>
      <c r="I579" s="149">
        <f>INDEX('Step 4 Stage Discharge'!E$26:M$126,MATCH(F579,'Step 4 Stage Discharge'!E$26:E$126,1),9)+(INDEX('Step 4 Stage Discharge'!E$26:M$126,MATCH('Step 5 Routing'!F579,'Step 4 Stage Discharge'!E$26:E$126,1)+1,9)-INDEX('Step 4 Stage Discharge'!E$26:M$126,MATCH('Step 5 Routing'!F579,'Step 4 Stage Discharge'!E$26:E$126,1),9))*('Step 5 Routing'!F579-INDEX('Step 4 Stage Discharge'!E$26:M$126,MATCH('Step 5 Routing'!F579,'Step 4 Stage Discharge'!E$26:E$126,1),1))/(INDEX('Step 4 Stage Discharge'!E$26:M$126,MATCH('Step 5 Routing'!F579,'Step 4 Stage Discharge'!E$26:E$126,1)+1,1)-INDEX('Step 4 Stage Discharge'!E$26:M$126,MATCH('Step 5 Routing'!F579,'Step 4 Stage Discharge'!E$26:E$126,1),1))</f>
        <v>4.3639431710317386E-3</v>
      </c>
      <c r="J579" s="149"/>
      <c r="K579" s="6">
        <f t="shared" si="41"/>
        <v>0</v>
      </c>
      <c r="L579" s="6">
        <f t="shared" si="42"/>
        <v>0</v>
      </c>
    </row>
    <row r="580" spans="1:12">
      <c r="A580">
        <f t="shared" si="43"/>
        <v>567</v>
      </c>
      <c r="B580" s="136">
        <f>IF(C$5=Data!D$3,'Step 2 Inflow Hydrograph'!H624,IF(C$5=Data!D$4,'Step 2 Inflow Hydrograph'!I624,IF(C$5=Data!D$5,'Step 2 Inflow Hydrograph'!J624,'Step 2 Inflow Hydrograph'!K624)))</f>
        <v>0</v>
      </c>
      <c r="C580" s="127"/>
      <c r="D580" s="6">
        <f t="shared" si="40"/>
        <v>0</v>
      </c>
      <c r="E580" s="6"/>
      <c r="F580" s="6">
        <f t="shared" si="44"/>
        <v>0</v>
      </c>
      <c r="G580" s="149">
        <f>INDEX('Step 4 Stage Discharge'!E$26:F$126,MATCH(F580,'Step 4 Stage Discharge'!E$26:E$126,1),2)+(INDEX('Step 4 Stage Discharge'!E$26:F$126,MATCH(F580,'Step 4 Stage Discharge'!E$26:E$126,1)+1,2)-INDEX('Step 4 Stage Discharge'!E$26:F$126,MATCH(F580,'Step 4 Stage Discharge'!E$26:E$126,1),2))*(F580-INDEX('Step 4 Stage Discharge'!E$26:F$126,MATCH(F580,'Step 4 Stage Discharge'!E$26:E$126,1),1))/(INDEX('Step 4 Stage Discharge'!E$26:F$126,MATCH(F580,'Step 4 Stage Discharge'!E$26:E$126,1)+1,1)-INDEX('Step 4 Stage Discharge'!E$26:F$126,MATCH(F580,'Step 4 Stage Discharge'!E$26:E$126,1),1))</f>
        <v>0</v>
      </c>
      <c r="H580" s="149"/>
      <c r="I580" s="149">
        <f>INDEX('Step 4 Stage Discharge'!E$26:M$126,MATCH(F580,'Step 4 Stage Discharge'!E$26:E$126,1),9)+(INDEX('Step 4 Stage Discharge'!E$26:M$126,MATCH('Step 5 Routing'!F580,'Step 4 Stage Discharge'!E$26:E$126,1)+1,9)-INDEX('Step 4 Stage Discharge'!E$26:M$126,MATCH('Step 5 Routing'!F580,'Step 4 Stage Discharge'!E$26:E$126,1),9))*('Step 5 Routing'!F580-INDEX('Step 4 Stage Discharge'!E$26:M$126,MATCH('Step 5 Routing'!F580,'Step 4 Stage Discharge'!E$26:E$126,1),1))/(INDEX('Step 4 Stage Discharge'!E$26:M$126,MATCH('Step 5 Routing'!F580,'Step 4 Stage Discharge'!E$26:E$126,1)+1,1)-INDEX('Step 4 Stage Discharge'!E$26:M$126,MATCH('Step 5 Routing'!F580,'Step 4 Stage Discharge'!E$26:E$126,1),1))</f>
        <v>4.3639431710317386E-3</v>
      </c>
      <c r="J580" s="149"/>
      <c r="K580" s="6">
        <f t="shared" si="41"/>
        <v>0</v>
      </c>
      <c r="L580" s="6">
        <f t="shared" si="42"/>
        <v>0</v>
      </c>
    </row>
    <row r="581" spans="1:12">
      <c r="A581">
        <f t="shared" si="43"/>
        <v>568</v>
      </c>
      <c r="B581" s="136">
        <f>IF(C$5=Data!D$3,'Step 2 Inflow Hydrograph'!H625,IF(C$5=Data!D$4,'Step 2 Inflow Hydrograph'!I625,IF(C$5=Data!D$5,'Step 2 Inflow Hydrograph'!J625,'Step 2 Inflow Hydrograph'!K625)))</f>
        <v>0</v>
      </c>
      <c r="C581" s="127"/>
      <c r="D581" s="6">
        <f t="shared" si="40"/>
        <v>0</v>
      </c>
      <c r="E581" s="6"/>
      <c r="F581" s="6">
        <f t="shared" si="44"/>
        <v>0</v>
      </c>
      <c r="G581" s="149">
        <f>INDEX('Step 4 Stage Discharge'!E$26:F$126,MATCH(F581,'Step 4 Stage Discharge'!E$26:E$126,1),2)+(INDEX('Step 4 Stage Discharge'!E$26:F$126,MATCH(F581,'Step 4 Stage Discharge'!E$26:E$126,1)+1,2)-INDEX('Step 4 Stage Discharge'!E$26:F$126,MATCH(F581,'Step 4 Stage Discharge'!E$26:E$126,1),2))*(F581-INDEX('Step 4 Stage Discharge'!E$26:F$126,MATCH(F581,'Step 4 Stage Discharge'!E$26:E$126,1),1))/(INDEX('Step 4 Stage Discharge'!E$26:F$126,MATCH(F581,'Step 4 Stage Discharge'!E$26:E$126,1)+1,1)-INDEX('Step 4 Stage Discharge'!E$26:F$126,MATCH(F581,'Step 4 Stage Discharge'!E$26:E$126,1),1))</f>
        <v>0</v>
      </c>
      <c r="H581" s="149"/>
      <c r="I581" s="149">
        <f>INDEX('Step 4 Stage Discharge'!E$26:M$126,MATCH(F581,'Step 4 Stage Discharge'!E$26:E$126,1),9)+(INDEX('Step 4 Stage Discharge'!E$26:M$126,MATCH('Step 5 Routing'!F581,'Step 4 Stage Discharge'!E$26:E$126,1)+1,9)-INDEX('Step 4 Stage Discharge'!E$26:M$126,MATCH('Step 5 Routing'!F581,'Step 4 Stage Discharge'!E$26:E$126,1),9))*('Step 5 Routing'!F581-INDEX('Step 4 Stage Discharge'!E$26:M$126,MATCH('Step 5 Routing'!F581,'Step 4 Stage Discharge'!E$26:E$126,1),1))/(INDEX('Step 4 Stage Discharge'!E$26:M$126,MATCH('Step 5 Routing'!F581,'Step 4 Stage Discharge'!E$26:E$126,1)+1,1)-INDEX('Step 4 Stage Discharge'!E$26:M$126,MATCH('Step 5 Routing'!F581,'Step 4 Stage Discharge'!E$26:E$126,1),1))</f>
        <v>4.3639431710317386E-3</v>
      </c>
      <c r="J581" s="149"/>
      <c r="K581" s="6">
        <f t="shared" si="41"/>
        <v>0</v>
      </c>
      <c r="L581" s="6">
        <f t="shared" si="42"/>
        <v>0</v>
      </c>
    </row>
    <row r="582" spans="1:12">
      <c r="A582">
        <f t="shared" si="43"/>
        <v>569</v>
      </c>
      <c r="B582" s="136">
        <f>IF(C$5=Data!D$3,'Step 2 Inflow Hydrograph'!H626,IF(C$5=Data!D$4,'Step 2 Inflow Hydrograph'!I626,IF(C$5=Data!D$5,'Step 2 Inflow Hydrograph'!J626,'Step 2 Inflow Hydrograph'!K626)))</f>
        <v>0</v>
      </c>
      <c r="C582" s="127"/>
      <c r="D582" s="6">
        <f t="shared" si="40"/>
        <v>0</v>
      </c>
      <c r="E582" s="6"/>
      <c r="F582" s="6">
        <f t="shared" si="44"/>
        <v>0</v>
      </c>
      <c r="G582" s="149">
        <f>INDEX('Step 4 Stage Discharge'!E$26:F$126,MATCH(F582,'Step 4 Stage Discharge'!E$26:E$126,1),2)+(INDEX('Step 4 Stage Discharge'!E$26:F$126,MATCH(F582,'Step 4 Stage Discharge'!E$26:E$126,1)+1,2)-INDEX('Step 4 Stage Discharge'!E$26:F$126,MATCH(F582,'Step 4 Stage Discharge'!E$26:E$126,1),2))*(F582-INDEX('Step 4 Stage Discharge'!E$26:F$126,MATCH(F582,'Step 4 Stage Discharge'!E$26:E$126,1),1))/(INDEX('Step 4 Stage Discharge'!E$26:F$126,MATCH(F582,'Step 4 Stage Discharge'!E$26:E$126,1)+1,1)-INDEX('Step 4 Stage Discharge'!E$26:F$126,MATCH(F582,'Step 4 Stage Discharge'!E$26:E$126,1),1))</f>
        <v>0</v>
      </c>
      <c r="H582" s="149"/>
      <c r="I582" s="149">
        <f>INDEX('Step 4 Stage Discharge'!E$26:M$126,MATCH(F582,'Step 4 Stage Discharge'!E$26:E$126,1),9)+(INDEX('Step 4 Stage Discharge'!E$26:M$126,MATCH('Step 5 Routing'!F582,'Step 4 Stage Discharge'!E$26:E$126,1)+1,9)-INDEX('Step 4 Stage Discharge'!E$26:M$126,MATCH('Step 5 Routing'!F582,'Step 4 Stage Discharge'!E$26:E$126,1),9))*('Step 5 Routing'!F582-INDEX('Step 4 Stage Discharge'!E$26:M$126,MATCH('Step 5 Routing'!F582,'Step 4 Stage Discharge'!E$26:E$126,1),1))/(INDEX('Step 4 Stage Discharge'!E$26:M$126,MATCH('Step 5 Routing'!F582,'Step 4 Stage Discharge'!E$26:E$126,1)+1,1)-INDEX('Step 4 Stage Discharge'!E$26:M$126,MATCH('Step 5 Routing'!F582,'Step 4 Stage Discharge'!E$26:E$126,1),1))</f>
        <v>4.3639431710317386E-3</v>
      </c>
      <c r="J582" s="149"/>
      <c r="K582" s="6">
        <f t="shared" si="41"/>
        <v>0</v>
      </c>
      <c r="L582" s="6">
        <f t="shared" si="42"/>
        <v>0</v>
      </c>
    </row>
    <row r="583" spans="1:12">
      <c r="A583">
        <f t="shared" si="43"/>
        <v>570</v>
      </c>
      <c r="B583" s="136">
        <f>IF(C$5=Data!D$3,'Step 2 Inflow Hydrograph'!H627,IF(C$5=Data!D$4,'Step 2 Inflow Hydrograph'!I627,IF(C$5=Data!D$5,'Step 2 Inflow Hydrograph'!J627,'Step 2 Inflow Hydrograph'!K627)))</f>
        <v>0</v>
      </c>
      <c r="C583" s="127"/>
      <c r="D583" s="6">
        <f t="shared" si="40"/>
        <v>0</v>
      </c>
      <c r="E583" s="6"/>
      <c r="F583" s="6">
        <f t="shared" si="44"/>
        <v>0</v>
      </c>
      <c r="G583" s="149">
        <f>INDEX('Step 4 Stage Discharge'!E$26:F$126,MATCH(F583,'Step 4 Stage Discharge'!E$26:E$126,1),2)+(INDEX('Step 4 Stage Discharge'!E$26:F$126,MATCH(F583,'Step 4 Stage Discharge'!E$26:E$126,1)+1,2)-INDEX('Step 4 Stage Discharge'!E$26:F$126,MATCH(F583,'Step 4 Stage Discharge'!E$26:E$126,1),2))*(F583-INDEX('Step 4 Stage Discharge'!E$26:F$126,MATCH(F583,'Step 4 Stage Discharge'!E$26:E$126,1),1))/(INDEX('Step 4 Stage Discharge'!E$26:F$126,MATCH(F583,'Step 4 Stage Discharge'!E$26:E$126,1)+1,1)-INDEX('Step 4 Stage Discharge'!E$26:F$126,MATCH(F583,'Step 4 Stage Discharge'!E$26:E$126,1),1))</f>
        <v>0</v>
      </c>
      <c r="H583" s="149"/>
      <c r="I583" s="149">
        <f>INDEX('Step 4 Stage Discharge'!E$26:M$126,MATCH(F583,'Step 4 Stage Discharge'!E$26:E$126,1),9)+(INDEX('Step 4 Stage Discharge'!E$26:M$126,MATCH('Step 5 Routing'!F583,'Step 4 Stage Discharge'!E$26:E$126,1)+1,9)-INDEX('Step 4 Stage Discharge'!E$26:M$126,MATCH('Step 5 Routing'!F583,'Step 4 Stage Discharge'!E$26:E$126,1),9))*('Step 5 Routing'!F583-INDEX('Step 4 Stage Discharge'!E$26:M$126,MATCH('Step 5 Routing'!F583,'Step 4 Stage Discharge'!E$26:E$126,1),1))/(INDEX('Step 4 Stage Discharge'!E$26:M$126,MATCH('Step 5 Routing'!F583,'Step 4 Stage Discharge'!E$26:E$126,1)+1,1)-INDEX('Step 4 Stage Discharge'!E$26:M$126,MATCH('Step 5 Routing'!F583,'Step 4 Stage Discharge'!E$26:E$126,1),1))</f>
        <v>4.3639431710317386E-3</v>
      </c>
      <c r="J583" s="149"/>
      <c r="K583" s="6">
        <f t="shared" si="41"/>
        <v>0</v>
      </c>
      <c r="L583" s="6">
        <f t="shared" si="42"/>
        <v>0</v>
      </c>
    </row>
    <row r="584" spans="1:12">
      <c r="A584">
        <f t="shared" si="43"/>
        <v>571</v>
      </c>
      <c r="B584" s="136">
        <f>IF(C$5=Data!D$3,'Step 2 Inflow Hydrograph'!H628,IF(C$5=Data!D$4,'Step 2 Inflow Hydrograph'!I628,IF(C$5=Data!D$5,'Step 2 Inflow Hydrograph'!J628,'Step 2 Inflow Hydrograph'!K628)))</f>
        <v>0</v>
      </c>
      <c r="C584" s="127"/>
      <c r="D584" s="6">
        <f t="shared" si="40"/>
        <v>0</v>
      </c>
      <c r="E584" s="6"/>
      <c r="F584" s="6">
        <f t="shared" si="44"/>
        <v>0</v>
      </c>
      <c r="G584" s="149">
        <f>INDEX('Step 4 Stage Discharge'!E$26:F$126,MATCH(F584,'Step 4 Stage Discharge'!E$26:E$126,1),2)+(INDEX('Step 4 Stage Discharge'!E$26:F$126,MATCH(F584,'Step 4 Stage Discharge'!E$26:E$126,1)+1,2)-INDEX('Step 4 Stage Discharge'!E$26:F$126,MATCH(F584,'Step 4 Stage Discharge'!E$26:E$126,1),2))*(F584-INDEX('Step 4 Stage Discharge'!E$26:F$126,MATCH(F584,'Step 4 Stage Discharge'!E$26:E$126,1),1))/(INDEX('Step 4 Stage Discharge'!E$26:F$126,MATCH(F584,'Step 4 Stage Discharge'!E$26:E$126,1)+1,1)-INDEX('Step 4 Stage Discharge'!E$26:F$126,MATCH(F584,'Step 4 Stage Discharge'!E$26:E$126,1),1))</f>
        <v>0</v>
      </c>
      <c r="H584" s="149"/>
      <c r="I584" s="149">
        <f>INDEX('Step 4 Stage Discharge'!E$26:M$126,MATCH(F584,'Step 4 Stage Discharge'!E$26:E$126,1),9)+(INDEX('Step 4 Stage Discharge'!E$26:M$126,MATCH('Step 5 Routing'!F584,'Step 4 Stage Discharge'!E$26:E$126,1)+1,9)-INDEX('Step 4 Stage Discharge'!E$26:M$126,MATCH('Step 5 Routing'!F584,'Step 4 Stage Discharge'!E$26:E$126,1),9))*('Step 5 Routing'!F584-INDEX('Step 4 Stage Discharge'!E$26:M$126,MATCH('Step 5 Routing'!F584,'Step 4 Stage Discharge'!E$26:E$126,1),1))/(INDEX('Step 4 Stage Discharge'!E$26:M$126,MATCH('Step 5 Routing'!F584,'Step 4 Stage Discharge'!E$26:E$126,1)+1,1)-INDEX('Step 4 Stage Discharge'!E$26:M$126,MATCH('Step 5 Routing'!F584,'Step 4 Stage Discharge'!E$26:E$126,1),1))</f>
        <v>4.3639431710317386E-3</v>
      </c>
      <c r="J584" s="149"/>
      <c r="K584" s="6">
        <f t="shared" si="41"/>
        <v>0</v>
      </c>
      <c r="L584" s="6">
        <f t="shared" si="42"/>
        <v>0</v>
      </c>
    </row>
    <row r="585" spans="1:12">
      <c r="A585">
        <f t="shared" si="43"/>
        <v>572</v>
      </c>
      <c r="B585" s="136">
        <f>IF(C$5=Data!D$3,'Step 2 Inflow Hydrograph'!H629,IF(C$5=Data!D$4,'Step 2 Inflow Hydrograph'!I629,IF(C$5=Data!D$5,'Step 2 Inflow Hydrograph'!J629,'Step 2 Inflow Hydrograph'!K629)))</f>
        <v>0</v>
      </c>
      <c r="C585" s="127"/>
      <c r="D585" s="6">
        <f t="shared" si="40"/>
        <v>0</v>
      </c>
      <c r="E585" s="6"/>
      <c r="F585" s="6">
        <f t="shared" si="44"/>
        <v>0</v>
      </c>
      <c r="G585" s="149">
        <f>INDEX('Step 4 Stage Discharge'!E$26:F$126,MATCH(F585,'Step 4 Stage Discharge'!E$26:E$126,1),2)+(INDEX('Step 4 Stage Discharge'!E$26:F$126,MATCH(F585,'Step 4 Stage Discharge'!E$26:E$126,1)+1,2)-INDEX('Step 4 Stage Discharge'!E$26:F$126,MATCH(F585,'Step 4 Stage Discharge'!E$26:E$126,1),2))*(F585-INDEX('Step 4 Stage Discharge'!E$26:F$126,MATCH(F585,'Step 4 Stage Discharge'!E$26:E$126,1),1))/(INDEX('Step 4 Stage Discharge'!E$26:F$126,MATCH(F585,'Step 4 Stage Discharge'!E$26:E$126,1)+1,1)-INDEX('Step 4 Stage Discharge'!E$26:F$126,MATCH(F585,'Step 4 Stage Discharge'!E$26:E$126,1),1))</f>
        <v>0</v>
      </c>
      <c r="H585" s="149"/>
      <c r="I585" s="149">
        <f>INDEX('Step 4 Stage Discharge'!E$26:M$126,MATCH(F585,'Step 4 Stage Discharge'!E$26:E$126,1),9)+(INDEX('Step 4 Stage Discharge'!E$26:M$126,MATCH('Step 5 Routing'!F585,'Step 4 Stage Discharge'!E$26:E$126,1)+1,9)-INDEX('Step 4 Stage Discharge'!E$26:M$126,MATCH('Step 5 Routing'!F585,'Step 4 Stage Discharge'!E$26:E$126,1),9))*('Step 5 Routing'!F585-INDEX('Step 4 Stage Discharge'!E$26:M$126,MATCH('Step 5 Routing'!F585,'Step 4 Stage Discharge'!E$26:E$126,1),1))/(INDEX('Step 4 Stage Discharge'!E$26:M$126,MATCH('Step 5 Routing'!F585,'Step 4 Stage Discharge'!E$26:E$126,1)+1,1)-INDEX('Step 4 Stage Discharge'!E$26:M$126,MATCH('Step 5 Routing'!F585,'Step 4 Stage Discharge'!E$26:E$126,1),1))</f>
        <v>4.3639431710317386E-3</v>
      </c>
      <c r="J585" s="149"/>
      <c r="K585" s="6">
        <f t="shared" si="41"/>
        <v>0</v>
      </c>
      <c r="L585" s="6">
        <f t="shared" si="42"/>
        <v>0</v>
      </c>
    </row>
    <row r="586" spans="1:12">
      <c r="A586">
        <f t="shared" si="43"/>
        <v>573</v>
      </c>
      <c r="B586" s="136">
        <f>IF(C$5=Data!D$3,'Step 2 Inflow Hydrograph'!H630,IF(C$5=Data!D$4,'Step 2 Inflow Hydrograph'!I630,IF(C$5=Data!D$5,'Step 2 Inflow Hydrograph'!J630,'Step 2 Inflow Hydrograph'!K630)))</f>
        <v>0</v>
      </c>
      <c r="C586" s="127"/>
      <c r="D586" s="6">
        <f t="shared" si="40"/>
        <v>0</v>
      </c>
      <c r="E586" s="6"/>
      <c r="F586" s="6">
        <f t="shared" si="44"/>
        <v>0</v>
      </c>
      <c r="G586" s="149">
        <f>INDEX('Step 4 Stage Discharge'!E$26:F$126,MATCH(F586,'Step 4 Stage Discharge'!E$26:E$126,1),2)+(INDEX('Step 4 Stage Discharge'!E$26:F$126,MATCH(F586,'Step 4 Stage Discharge'!E$26:E$126,1)+1,2)-INDEX('Step 4 Stage Discharge'!E$26:F$126,MATCH(F586,'Step 4 Stage Discharge'!E$26:E$126,1),2))*(F586-INDEX('Step 4 Stage Discharge'!E$26:F$126,MATCH(F586,'Step 4 Stage Discharge'!E$26:E$126,1),1))/(INDEX('Step 4 Stage Discharge'!E$26:F$126,MATCH(F586,'Step 4 Stage Discharge'!E$26:E$126,1)+1,1)-INDEX('Step 4 Stage Discharge'!E$26:F$126,MATCH(F586,'Step 4 Stage Discharge'!E$26:E$126,1),1))</f>
        <v>0</v>
      </c>
      <c r="H586" s="149"/>
      <c r="I586" s="149">
        <f>INDEX('Step 4 Stage Discharge'!E$26:M$126,MATCH(F586,'Step 4 Stage Discharge'!E$26:E$126,1),9)+(INDEX('Step 4 Stage Discharge'!E$26:M$126,MATCH('Step 5 Routing'!F586,'Step 4 Stage Discharge'!E$26:E$126,1)+1,9)-INDEX('Step 4 Stage Discharge'!E$26:M$126,MATCH('Step 5 Routing'!F586,'Step 4 Stage Discharge'!E$26:E$126,1),9))*('Step 5 Routing'!F586-INDEX('Step 4 Stage Discharge'!E$26:M$126,MATCH('Step 5 Routing'!F586,'Step 4 Stage Discharge'!E$26:E$126,1),1))/(INDEX('Step 4 Stage Discharge'!E$26:M$126,MATCH('Step 5 Routing'!F586,'Step 4 Stage Discharge'!E$26:E$126,1)+1,1)-INDEX('Step 4 Stage Discharge'!E$26:M$126,MATCH('Step 5 Routing'!F586,'Step 4 Stage Discharge'!E$26:E$126,1),1))</f>
        <v>4.3639431710317386E-3</v>
      </c>
      <c r="J586" s="149"/>
      <c r="K586" s="6">
        <f t="shared" si="41"/>
        <v>0</v>
      </c>
      <c r="L586" s="6">
        <f t="shared" si="42"/>
        <v>0</v>
      </c>
    </row>
    <row r="587" spans="1:12">
      <c r="A587">
        <f t="shared" si="43"/>
        <v>574</v>
      </c>
      <c r="B587" s="136">
        <f>IF(C$5=Data!D$3,'Step 2 Inflow Hydrograph'!H631,IF(C$5=Data!D$4,'Step 2 Inflow Hydrograph'!I631,IF(C$5=Data!D$5,'Step 2 Inflow Hydrograph'!J631,'Step 2 Inflow Hydrograph'!K631)))</f>
        <v>0</v>
      </c>
      <c r="C587" s="127"/>
      <c r="D587" s="6">
        <f t="shared" si="40"/>
        <v>0</v>
      </c>
      <c r="E587" s="6"/>
      <c r="F587" s="6">
        <f t="shared" si="44"/>
        <v>0</v>
      </c>
      <c r="G587" s="149">
        <f>INDEX('Step 4 Stage Discharge'!E$26:F$126,MATCH(F587,'Step 4 Stage Discharge'!E$26:E$126,1),2)+(INDEX('Step 4 Stage Discharge'!E$26:F$126,MATCH(F587,'Step 4 Stage Discharge'!E$26:E$126,1)+1,2)-INDEX('Step 4 Stage Discharge'!E$26:F$126,MATCH(F587,'Step 4 Stage Discharge'!E$26:E$126,1),2))*(F587-INDEX('Step 4 Stage Discharge'!E$26:F$126,MATCH(F587,'Step 4 Stage Discharge'!E$26:E$126,1),1))/(INDEX('Step 4 Stage Discharge'!E$26:F$126,MATCH(F587,'Step 4 Stage Discharge'!E$26:E$126,1)+1,1)-INDEX('Step 4 Stage Discharge'!E$26:F$126,MATCH(F587,'Step 4 Stage Discharge'!E$26:E$126,1),1))</f>
        <v>0</v>
      </c>
      <c r="H587" s="149"/>
      <c r="I587" s="149">
        <f>INDEX('Step 4 Stage Discharge'!E$26:M$126,MATCH(F587,'Step 4 Stage Discharge'!E$26:E$126,1),9)+(INDEX('Step 4 Stage Discharge'!E$26:M$126,MATCH('Step 5 Routing'!F587,'Step 4 Stage Discharge'!E$26:E$126,1)+1,9)-INDEX('Step 4 Stage Discharge'!E$26:M$126,MATCH('Step 5 Routing'!F587,'Step 4 Stage Discharge'!E$26:E$126,1),9))*('Step 5 Routing'!F587-INDEX('Step 4 Stage Discharge'!E$26:M$126,MATCH('Step 5 Routing'!F587,'Step 4 Stage Discharge'!E$26:E$126,1),1))/(INDEX('Step 4 Stage Discharge'!E$26:M$126,MATCH('Step 5 Routing'!F587,'Step 4 Stage Discharge'!E$26:E$126,1)+1,1)-INDEX('Step 4 Stage Discharge'!E$26:M$126,MATCH('Step 5 Routing'!F587,'Step 4 Stage Discharge'!E$26:E$126,1),1))</f>
        <v>4.3639431710317386E-3</v>
      </c>
      <c r="J587" s="149"/>
      <c r="K587" s="6">
        <f t="shared" si="41"/>
        <v>0</v>
      </c>
      <c r="L587" s="6">
        <f t="shared" si="42"/>
        <v>0</v>
      </c>
    </row>
    <row r="588" spans="1:12">
      <c r="A588">
        <f t="shared" si="43"/>
        <v>575</v>
      </c>
      <c r="B588" s="136">
        <f>IF(C$5=Data!D$3,'Step 2 Inflow Hydrograph'!H632,IF(C$5=Data!D$4,'Step 2 Inflow Hydrograph'!I632,IF(C$5=Data!D$5,'Step 2 Inflow Hydrograph'!J632,'Step 2 Inflow Hydrograph'!K632)))</f>
        <v>0</v>
      </c>
      <c r="C588" s="127"/>
      <c r="D588" s="6">
        <f t="shared" si="40"/>
        <v>0</v>
      </c>
      <c r="E588" s="6"/>
      <c r="F588" s="6">
        <f t="shared" si="44"/>
        <v>0</v>
      </c>
      <c r="G588" s="149">
        <f>INDEX('Step 4 Stage Discharge'!E$26:F$126,MATCH(F588,'Step 4 Stage Discharge'!E$26:E$126,1),2)+(INDEX('Step 4 Stage Discharge'!E$26:F$126,MATCH(F588,'Step 4 Stage Discharge'!E$26:E$126,1)+1,2)-INDEX('Step 4 Stage Discharge'!E$26:F$126,MATCH(F588,'Step 4 Stage Discharge'!E$26:E$126,1),2))*(F588-INDEX('Step 4 Stage Discharge'!E$26:F$126,MATCH(F588,'Step 4 Stage Discharge'!E$26:E$126,1),1))/(INDEX('Step 4 Stage Discharge'!E$26:F$126,MATCH(F588,'Step 4 Stage Discharge'!E$26:E$126,1)+1,1)-INDEX('Step 4 Stage Discharge'!E$26:F$126,MATCH(F588,'Step 4 Stage Discharge'!E$26:E$126,1),1))</f>
        <v>0</v>
      </c>
      <c r="H588" s="149"/>
      <c r="I588" s="149">
        <f>INDEX('Step 4 Stage Discharge'!E$26:M$126,MATCH(F588,'Step 4 Stage Discharge'!E$26:E$126,1),9)+(INDEX('Step 4 Stage Discharge'!E$26:M$126,MATCH('Step 5 Routing'!F588,'Step 4 Stage Discharge'!E$26:E$126,1)+1,9)-INDEX('Step 4 Stage Discharge'!E$26:M$126,MATCH('Step 5 Routing'!F588,'Step 4 Stage Discharge'!E$26:E$126,1),9))*('Step 5 Routing'!F588-INDEX('Step 4 Stage Discharge'!E$26:M$126,MATCH('Step 5 Routing'!F588,'Step 4 Stage Discharge'!E$26:E$126,1),1))/(INDEX('Step 4 Stage Discharge'!E$26:M$126,MATCH('Step 5 Routing'!F588,'Step 4 Stage Discharge'!E$26:E$126,1)+1,1)-INDEX('Step 4 Stage Discharge'!E$26:M$126,MATCH('Step 5 Routing'!F588,'Step 4 Stage Discharge'!E$26:E$126,1),1))</f>
        <v>4.3639431710317386E-3</v>
      </c>
      <c r="J588" s="149"/>
      <c r="K588" s="6">
        <f t="shared" si="41"/>
        <v>0</v>
      </c>
      <c r="L588" s="6">
        <f t="shared" si="42"/>
        <v>0</v>
      </c>
    </row>
    <row r="589" spans="1:12">
      <c r="A589">
        <f t="shared" si="43"/>
        <v>576</v>
      </c>
      <c r="B589" s="136">
        <f>IF(C$5=Data!D$3,'Step 2 Inflow Hydrograph'!H633,IF(C$5=Data!D$4,'Step 2 Inflow Hydrograph'!I633,IF(C$5=Data!D$5,'Step 2 Inflow Hydrograph'!J633,'Step 2 Inflow Hydrograph'!K633)))</f>
        <v>0</v>
      </c>
      <c r="C589" s="127"/>
      <c r="D589" s="6">
        <f t="shared" ref="D589:D652" si="45">IF(B589="",0,B589*D$8*60)</f>
        <v>0</v>
      </c>
      <c r="E589" s="6"/>
      <c r="F589" s="6">
        <f t="shared" si="44"/>
        <v>0</v>
      </c>
      <c r="G589" s="149">
        <f>INDEX('Step 4 Stage Discharge'!E$26:F$126,MATCH(F589,'Step 4 Stage Discharge'!E$26:E$126,1),2)+(INDEX('Step 4 Stage Discharge'!E$26:F$126,MATCH(F589,'Step 4 Stage Discharge'!E$26:E$126,1)+1,2)-INDEX('Step 4 Stage Discharge'!E$26:F$126,MATCH(F589,'Step 4 Stage Discharge'!E$26:E$126,1),2))*(F589-INDEX('Step 4 Stage Discharge'!E$26:F$126,MATCH(F589,'Step 4 Stage Discharge'!E$26:E$126,1),1))/(INDEX('Step 4 Stage Discharge'!E$26:F$126,MATCH(F589,'Step 4 Stage Discharge'!E$26:E$126,1)+1,1)-INDEX('Step 4 Stage Discharge'!E$26:F$126,MATCH(F589,'Step 4 Stage Discharge'!E$26:E$126,1),1))</f>
        <v>0</v>
      </c>
      <c r="H589" s="149"/>
      <c r="I589" s="149">
        <f>INDEX('Step 4 Stage Discharge'!E$26:M$126,MATCH(F589,'Step 4 Stage Discharge'!E$26:E$126,1),9)+(INDEX('Step 4 Stage Discharge'!E$26:M$126,MATCH('Step 5 Routing'!F589,'Step 4 Stage Discharge'!E$26:E$126,1)+1,9)-INDEX('Step 4 Stage Discharge'!E$26:M$126,MATCH('Step 5 Routing'!F589,'Step 4 Stage Discharge'!E$26:E$126,1),9))*('Step 5 Routing'!F589-INDEX('Step 4 Stage Discharge'!E$26:M$126,MATCH('Step 5 Routing'!F589,'Step 4 Stage Discharge'!E$26:E$126,1),1))/(INDEX('Step 4 Stage Discharge'!E$26:M$126,MATCH('Step 5 Routing'!F589,'Step 4 Stage Discharge'!E$26:E$126,1)+1,1)-INDEX('Step 4 Stage Discharge'!E$26:M$126,MATCH('Step 5 Routing'!F589,'Step 4 Stage Discharge'!E$26:E$126,1),1))</f>
        <v>4.3639431710317386E-3</v>
      </c>
      <c r="J589" s="149"/>
      <c r="K589" s="6">
        <f t="shared" ref="K589:K652" si="46">IF(I589*60*D$8&gt;F589,F589,I589*60*D$8)</f>
        <v>0</v>
      </c>
      <c r="L589" s="6">
        <f t="shared" ref="L589:L652" si="47">IF(F589-K589&lt;0,0,F589-K589)</f>
        <v>0</v>
      </c>
    </row>
    <row r="590" spans="1:12">
      <c r="A590">
        <f t="shared" ref="A590:A653" si="48">+A589+D$8</f>
        <v>577</v>
      </c>
      <c r="B590" s="136">
        <f>IF(C$5=Data!D$3,'Step 2 Inflow Hydrograph'!H634,IF(C$5=Data!D$4,'Step 2 Inflow Hydrograph'!I634,IF(C$5=Data!D$5,'Step 2 Inflow Hydrograph'!J634,'Step 2 Inflow Hydrograph'!K634)))</f>
        <v>0</v>
      </c>
      <c r="C590" s="127"/>
      <c r="D590" s="6">
        <f t="shared" si="45"/>
        <v>0</v>
      </c>
      <c r="E590" s="6"/>
      <c r="F590" s="6">
        <f t="shared" ref="F590:F653" si="49">+L589+D590</f>
        <v>0</v>
      </c>
      <c r="G590" s="149">
        <f>INDEX('Step 4 Stage Discharge'!E$26:F$126,MATCH(F590,'Step 4 Stage Discharge'!E$26:E$126,1),2)+(INDEX('Step 4 Stage Discharge'!E$26:F$126,MATCH(F590,'Step 4 Stage Discharge'!E$26:E$126,1)+1,2)-INDEX('Step 4 Stage Discharge'!E$26:F$126,MATCH(F590,'Step 4 Stage Discharge'!E$26:E$126,1),2))*(F590-INDEX('Step 4 Stage Discharge'!E$26:F$126,MATCH(F590,'Step 4 Stage Discharge'!E$26:E$126,1),1))/(INDEX('Step 4 Stage Discharge'!E$26:F$126,MATCH(F590,'Step 4 Stage Discharge'!E$26:E$126,1)+1,1)-INDEX('Step 4 Stage Discharge'!E$26:F$126,MATCH(F590,'Step 4 Stage Discharge'!E$26:E$126,1),1))</f>
        <v>0</v>
      </c>
      <c r="H590" s="149"/>
      <c r="I590" s="149">
        <f>INDEX('Step 4 Stage Discharge'!E$26:M$126,MATCH(F590,'Step 4 Stage Discharge'!E$26:E$126,1),9)+(INDEX('Step 4 Stage Discharge'!E$26:M$126,MATCH('Step 5 Routing'!F590,'Step 4 Stage Discharge'!E$26:E$126,1)+1,9)-INDEX('Step 4 Stage Discharge'!E$26:M$126,MATCH('Step 5 Routing'!F590,'Step 4 Stage Discharge'!E$26:E$126,1),9))*('Step 5 Routing'!F590-INDEX('Step 4 Stage Discharge'!E$26:M$126,MATCH('Step 5 Routing'!F590,'Step 4 Stage Discharge'!E$26:E$126,1),1))/(INDEX('Step 4 Stage Discharge'!E$26:M$126,MATCH('Step 5 Routing'!F590,'Step 4 Stage Discharge'!E$26:E$126,1)+1,1)-INDEX('Step 4 Stage Discharge'!E$26:M$126,MATCH('Step 5 Routing'!F590,'Step 4 Stage Discharge'!E$26:E$126,1),1))</f>
        <v>4.3639431710317386E-3</v>
      </c>
      <c r="J590" s="149"/>
      <c r="K590" s="6">
        <f t="shared" si="46"/>
        <v>0</v>
      </c>
      <c r="L590" s="6">
        <f t="shared" si="47"/>
        <v>0</v>
      </c>
    </row>
    <row r="591" spans="1:12">
      <c r="A591">
        <f t="shared" si="48"/>
        <v>578</v>
      </c>
      <c r="B591" s="136">
        <f>IF(C$5=Data!D$3,'Step 2 Inflow Hydrograph'!H635,IF(C$5=Data!D$4,'Step 2 Inflow Hydrograph'!I635,IF(C$5=Data!D$5,'Step 2 Inflow Hydrograph'!J635,'Step 2 Inflow Hydrograph'!K635)))</f>
        <v>0</v>
      </c>
      <c r="C591" s="127"/>
      <c r="D591" s="6">
        <f t="shared" si="45"/>
        <v>0</v>
      </c>
      <c r="E591" s="6"/>
      <c r="F591" s="6">
        <f t="shared" si="49"/>
        <v>0</v>
      </c>
      <c r="G591" s="149">
        <f>INDEX('Step 4 Stage Discharge'!E$26:F$126,MATCH(F591,'Step 4 Stage Discharge'!E$26:E$126,1),2)+(INDEX('Step 4 Stage Discharge'!E$26:F$126,MATCH(F591,'Step 4 Stage Discharge'!E$26:E$126,1)+1,2)-INDEX('Step 4 Stage Discharge'!E$26:F$126,MATCH(F591,'Step 4 Stage Discharge'!E$26:E$126,1),2))*(F591-INDEX('Step 4 Stage Discharge'!E$26:F$126,MATCH(F591,'Step 4 Stage Discharge'!E$26:E$126,1),1))/(INDEX('Step 4 Stage Discharge'!E$26:F$126,MATCH(F591,'Step 4 Stage Discharge'!E$26:E$126,1)+1,1)-INDEX('Step 4 Stage Discharge'!E$26:F$126,MATCH(F591,'Step 4 Stage Discharge'!E$26:E$126,1),1))</f>
        <v>0</v>
      </c>
      <c r="H591" s="149"/>
      <c r="I591" s="149">
        <f>INDEX('Step 4 Stage Discharge'!E$26:M$126,MATCH(F591,'Step 4 Stage Discharge'!E$26:E$126,1),9)+(INDEX('Step 4 Stage Discharge'!E$26:M$126,MATCH('Step 5 Routing'!F591,'Step 4 Stage Discharge'!E$26:E$126,1)+1,9)-INDEX('Step 4 Stage Discharge'!E$26:M$126,MATCH('Step 5 Routing'!F591,'Step 4 Stage Discharge'!E$26:E$126,1),9))*('Step 5 Routing'!F591-INDEX('Step 4 Stage Discharge'!E$26:M$126,MATCH('Step 5 Routing'!F591,'Step 4 Stage Discharge'!E$26:E$126,1),1))/(INDEX('Step 4 Stage Discharge'!E$26:M$126,MATCH('Step 5 Routing'!F591,'Step 4 Stage Discharge'!E$26:E$126,1)+1,1)-INDEX('Step 4 Stage Discharge'!E$26:M$126,MATCH('Step 5 Routing'!F591,'Step 4 Stage Discharge'!E$26:E$126,1),1))</f>
        <v>4.3639431710317386E-3</v>
      </c>
      <c r="J591" s="149"/>
      <c r="K591" s="6">
        <f t="shared" si="46"/>
        <v>0</v>
      </c>
      <c r="L591" s="6">
        <f t="shared" si="47"/>
        <v>0</v>
      </c>
    </row>
    <row r="592" spans="1:12">
      <c r="A592">
        <f t="shared" si="48"/>
        <v>579</v>
      </c>
      <c r="B592" s="136">
        <f>IF(C$5=Data!D$3,'Step 2 Inflow Hydrograph'!H636,IF(C$5=Data!D$4,'Step 2 Inflow Hydrograph'!I636,IF(C$5=Data!D$5,'Step 2 Inflow Hydrograph'!J636,'Step 2 Inflow Hydrograph'!K636)))</f>
        <v>0</v>
      </c>
      <c r="C592" s="127"/>
      <c r="D592" s="6">
        <f t="shared" si="45"/>
        <v>0</v>
      </c>
      <c r="E592" s="6"/>
      <c r="F592" s="6">
        <f t="shared" si="49"/>
        <v>0</v>
      </c>
      <c r="G592" s="149">
        <f>INDEX('Step 4 Stage Discharge'!E$26:F$126,MATCH(F592,'Step 4 Stage Discharge'!E$26:E$126,1),2)+(INDEX('Step 4 Stage Discharge'!E$26:F$126,MATCH(F592,'Step 4 Stage Discharge'!E$26:E$126,1)+1,2)-INDEX('Step 4 Stage Discharge'!E$26:F$126,MATCH(F592,'Step 4 Stage Discharge'!E$26:E$126,1),2))*(F592-INDEX('Step 4 Stage Discharge'!E$26:F$126,MATCH(F592,'Step 4 Stage Discharge'!E$26:E$126,1),1))/(INDEX('Step 4 Stage Discharge'!E$26:F$126,MATCH(F592,'Step 4 Stage Discharge'!E$26:E$126,1)+1,1)-INDEX('Step 4 Stage Discharge'!E$26:F$126,MATCH(F592,'Step 4 Stage Discharge'!E$26:E$126,1),1))</f>
        <v>0</v>
      </c>
      <c r="H592" s="149"/>
      <c r="I592" s="149">
        <f>INDEX('Step 4 Stage Discharge'!E$26:M$126,MATCH(F592,'Step 4 Stage Discharge'!E$26:E$126,1),9)+(INDEX('Step 4 Stage Discharge'!E$26:M$126,MATCH('Step 5 Routing'!F592,'Step 4 Stage Discharge'!E$26:E$126,1)+1,9)-INDEX('Step 4 Stage Discharge'!E$26:M$126,MATCH('Step 5 Routing'!F592,'Step 4 Stage Discharge'!E$26:E$126,1),9))*('Step 5 Routing'!F592-INDEX('Step 4 Stage Discharge'!E$26:M$126,MATCH('Step 5 Routing'!F592,'Step 4 Stage Discharge'!E$26:E$126,1),1))/(INDEX('Step 4 Stage Discharge'!E$26:M$126,MATCH('Step 5 Routing'!F592,'Step 4 Stage Discharge'!E$26:E$126,1)+1,1)-INDEX('Step 4 Stage Discharge'!E$26:M$126,MATCH('Step 5 Routing'!F592,'Step 4 Stage Discharge'!E$26:E$126,1),1))</f>
        <v>4.3639431710317386E-3</v>
      </c>
      <c r="J592" s="149"/>
      <c r="K592" s="6">
        <f t="shared" si="46"/>
        <v>0</v>
      </c>
      <c r="L592" s="6">
        <f t="shared" si="47"/>
        <v>0</v>
      </c>
    </row>
    <row r="593" spans="1:12">
      <c r="A593">
        <f t="shared" si="48"/>
        <v>580</v>
      </c>
      <c r="B593" s="136">
        <f>IF(C$5=Data!D$3,'Step 2 Inflow Hydrograph'!H637,IF(C$5=Data!D$4,'Step 2 Inflow Hydrograph'!I637,IF(C$5=Data!D$5,'Step 2 Inflow Hydrograph'!J637,'Step 2 Inflow Hydrograph'!K637)))</f>
        <v>0</v>
      </c>
      <c r="C593" s="127"/>
      <c r="D593" s="6">
        <f t="shared" si="45"/>
        <v>0</v>
      </c>
      <c r="E593" s="6"/>
      <c r="F593" s="6">
        <f t="shared" si="49"/>
        <v>0</v>
      </c>
      <c r="G593" s="149">
        <f>INDEX('Step 4 Stage Discharge'!E$26:F$126,MATCH(F593,'Step 4 Stage Discharge'!E$26:E$126,1),2)+(INDEX('Step 4 Stage Discharge'!E$26:F$126,MATCH(F593,'Step 4 Stage Discharge'!E$26:E$126,1)+1,2)-INDEX('Step 4 Stage Discharge'!E$26:F$126,MATCH(F593,'Step 4 Stage Discharge'!E$26:E$126,1),2))*(F593-INDEX('Step 4 Stage Discharge'!E$26:F$126,MATCH(F593,'Step 4 Stage Discharge'!E$26:E$126,1),1))/(INDEX('Step 4 Stage Discharge'!E$26:F$126,MATCH(F593,'Step 4 Stage Discharge'!E$26:E$126,1)+1,1)-INDEX('Step 4 Stage Discharge'!E$26:F$126,MATCH(F593,'Step 4 Stage Discharge'!E$26:E$126,1),1))</f>
        <v>0</v>
      </c>
      <c r="H593" s="149"/>
      <c r="I593" s="149">
        <f>INDEX('Step 4 Stage Discharge'!E$26:M$126,MATCH(F593,'Step 4 Stage Discharge'!E$26:E$126,1),9)+(INDEX('Step 4 Stage Discharge'!E$26:M$126,MATCH('Step 5 Routing'!F593,'Step 4 Stage Discharge'!E$26:E$126,1)+1,9)-INDEX('Step 4 Stage Discharge'!E$26:M$126,MATCH('Step 5 Routing'!F593,'Step 4 Stage Discharge'!E$26:E$126,1),9))*('Step 5 Routing'!F593-INDEX('Step 4 Stage Discharge'!E$26:M$126,MATCH('Step 5 Routing'!F593,'Step 4 Stage Discharge'!E$26:E$126,1),1))/(INDEX('Step 4 Stage Discharge'!E$26:M$126,MATCH('Step 5 Routing'!F593,'Step 4 Stage Discharge'!E$26:E$126,1)+1,1)-INDEX('Step 4 Stage Discharge'!E$26:M$126,MATCH('Step 5 Routing'!F593,'Step 4 Stage Discharge'!E$26:E$126,1),1))</f>
        <v>4.3639431710317386E-3</v>
      </c>
      <c r="J593" s="149"/>
      <c r="K593" s="6">
        <f t="shared" si="46"/>
        <v>0</v>
      </c>
      <c r="L593" s="6">
        <f t="shared" si="47"/>
        <v>0</v>
      </c>
    </row>
    <row r="594" spans="1:12">
      <c r="A594">
        <f t="shared" si="48"/>
        <v>581</v>
      </c>
      <c r="B594" s="136">
        <f>IF(C$5=Data!D$3,'Step 2 Inflow Hydrograph'!H638,IF(C$5=Data!D$4,'Step 2 Inflow Hydrograph'!I638,IF(C$5=Data!D$5,'Step 2 Inflow Hydrograph'!J638,'Step 2 Inflow Hydrograph'!K638)))</f>
        <v>0</v>
      </c>
      <c r="C594" s="127"/>
      <c r="D594" s="6">
        <f t="shared" si="45"/>
        <v>0</v>
      </c>
      <c r="E594" s="6"/>
      <c r="F594" s="6">
        <f t="shared" si="49"/>
        <v>0</v>
      </c>
      <c r="G594" s="149">
        <f>INDEX('Step 4 Stage Discharge'!E$26:F$126,MATCH(F594,'Step 4 Stage Discharge'!E$26:E$126,1),2)+(INDEX('Step 4 Stage Discharge'!E$26:F$126,MATCH(F594,'Step 4 Stage Discharge'!E$26:E$126,1)+1,2)-INDEX('Step 4 Stage Discharge'!E$26:F$126,MATCH(F594,'Step 4 Stage Discharge'!E$26:E$126,1),2))*(F594-INDEX('Step 4 Stage Discharge'!E$26:F$126,MATCH(F594,'Step 4 Stage Discharge'!E$26:E$126,1),1))/(INDEX('Step 4 Stage Discharge'!E$26:F$126,MATCH(F594,'Step 4 Stage Discharge'!E$26:E$126,1)+1,1)-INDEX('Step 4 Stage Discharge'!E$26:F$126,MATCH(F594,'Step 4 Stage Discharge'!E$26:E$126,1),1))</f>
        <v>0</v>
      </c>
      <c r="H594" s="149"/>
      <c r="I594" s="149">
        <f>INDEX('Step 4 Stage Discharge'!E$26:M$126,MATCH(F594,'Step 4 Stage Discharge'!E$26:E$126,1),9)+(INDEX('Step 4 Stage Discharge'!E$26:M$126,MATCH('Step 5 Routing'!F594,'Step 4 Stage Discharge'!E$26:E$126,1)+1,9)-INDEX('Step 4 Stage Discharge'!E$26:M$126,MATCH('Step 5 Routing'!F594,'Step 4 Stage Discharge'!E$26:E$126,1),9))*('Step 5 Routing'!F594-INDEX('Step 4 Stage Discharge'!E$26:M$126,MATCH('Step 5 Routing'!F594,'Step 4 Stage Discharge'!E$26:E$126,1),1))/(INDEX('Step 4 Stage Discharge'!E$26:M$126,MATCH('Step 5 Routing'!F594,'Step 4 Stage Discharge'!E$26:E$126,1)+1,1)-INDEX('Step 4 Stage Discharge'!E$26:M$126,MATCH('Step 5 Routing'!F594,'Step 4 Stage Discharge'!E$26:E$126,1),1))</f>
        <v>4.3639431710317386E-3</v>
      </c>
      <c r="J594" s="149"/>
      <c r="K594" s="6">
        <f t="shared" si="46"/>
        <v>0</v>
      </c>
      <c r="L594" s="6">
        <f t="shared" si="47"/>
        <v>0</v>
      </c>
    </row>
    <row r="595" spans="1:12">
      <c r="A595">
        <f t="shared" si="48"/>
        <v>582</v>
      </c>
      <c r="B595" s="136">
        <f>IF(C$5=Data!D$3,'Step 2 Inflow Hydrograph'!H639,IF(C$5=Data!D$4,'Step 2 Inflow Hydrograph'!I639,IF(C$5=Data!D$5,'Step 2 Inflow Hydrograph'!J639,'Step 2 Inflow Hydrograph'!K639)))</f>
        <v>0</v>
      </c>
      <c r="C595" s="127"/>
      <c r="D595" s="6">
        <f t="shared" si="45"/>
        <v>0</v>
      </c>
      <c r="E595" s="6"/>
      <c r="F595" s="6">
        <f t="shared" si="49"/>
        <v>0</v>
      </c>
      <c r="G595" s="149">
        <f>INDEX('Step 4 Stage Discharge'!E$26:F$126,MATCH(F595,'Step 4 Stage Discharge'!E$26:E$126,1),2)+(INDEX('Step 4 Stage Discharge'!E$26:F$126,MATCH(F595,'Step 4 Stage Discharge'!E$26:E$126,1)+1,2)-INDEX('Step 4 Stage Discharge'!E$26:F$126,MATCH(F595,'Step 4 Stage Discharge'!E$26:E$126,1),2))*(F595-INDEX('Step 4 Stage Discharge'!E$26:F$126,MATCH(F595,'Step 4 Stage Discharge'!E$26:E$126,1),1))/(INDEX('Step 4 Stage Discharge'!E$26:F$126,MATCH(F595,'Step 4 Stage Discharge'!E$26:E$126,1)+1,1)-INDEX('Step 4 Stage Discharge'!E$26:F$126,MATCH(F595,'Step 4 Stage Discharge'!E$26:E$126,1),1))</f>
        <v>0</v>
      </c>
      <c r="H595" s="149"/>
      <c r="I595" s="149">
        <f>INDEX('Step 4 Stage Discharge'!E$26:M$126,MATCH(F595,'Step 4 Stage Discharge'!E$26:E$126,1),9)+(INDEX('Step 4 Stage Discharge'!E$26:M$126,MATCH('Step 5 Routing'!F595,'Step 4 Stage Discharge'!E$26:E$126,1)+1,9)-INDEX('Step 4 Stage Discharge'!E$26:M$126,MATCH('Step 5 Routing'!F595,'Step 4 Stage Discharge'!E$26:E$126,1),9))*('Step 5 Routing'!F595-INDEX('Step 4 Stage Discharge'!E$26:M$126,MATCH('Step 5 Routing'!F595,'Step 4 Stage Discharge'!E$26:E$126,1),1))/(INDEX('Step 4 Stage Discharge'!E$26:M$126,MATCH('Step 5 Routing'!F595,'Step 4 Stage Discharge'!E$26:E$126,1)+1,1)-INDEX('Step 4 Stage Discharge'!E$26:M$126,MATCH('Step 5 Routing'!F595,'Step 4 Stage Discharge'!E$26:E$126,1),1))</f>
        <v>4.3639431710317386E-3</v>
      </c>
      <c r="J595" s="149"/>
      <c r="K595" s="6">
        <f t="shared" si="46"/>
        <v>0</v>
      </c>
      <c r="L595" s="6">
        <f t="shared" si="47"/>
        <v>0</v>
      </c>
    </row>
    <row r="596" spans="1:12">
      <c r="A596">
        <f t="shared" si="48"/>
        <v>583</v>
      </c>
      <c r="B596" s="136">
        <f>IF(C$5=Data!D$3,'Step 2 Inflow Hydrograph'!H640,IF(C$5=Data!D$4,'Step 2 Inflow Hydrograph'!I640,IF(C$5=Data!D$5,'Step 2 Inflow Hydrograph'!J640,'Step 2 Inflow Hydrograph'!K640)))</f>
        <v>0</v>
      </c>
      <c r="C596" s="127"/>
      <c r="D596" s="6">
        <f t="shared" si="45"/>
        <v>0</v>
      </c>
      <c r="E596" s="6"/>
      <c r="F596" s="6">
        <f t="shared" si="49"/>
        <v>0</v>
      </c>
      <c r="G596" s="149">
        <f>INDEX('Step 4 Stage Discharge'!E$26:F$126,MATCH(F596,'Step 4 Stage Discharge'!E$26:E$126,1),2)+(INDEX('Step 4 Stage Discharge'!E$26:F$126,MATCH(F596,'Step 4 Stage Discharge'!E$26:E$126,1)+1,2)-INDEX('Step 4 Stage Discharge'!E$26:F$126,MATCH(F596,'Step 4 Stage Discharge'!E$26:E$126,1),2))*(F596-INDEX('Step 4 Stage Discharge'!E$26:F$126,MATCH(F596,'Step 4 Stage Discharge'!E$26:E$126,1),1))/(INDEX('Step 4 Stage Discharge'!E$26:F$126,MATCH(F596,'Step 4 Stage Discharge'!E$26:E$126,1)+1,1)-INDEX('Step 4 Stage Discharge'!E$26:F$126,MATCH(F596,'Step 4 Stage Discharge'!E$26:E$126,1),1))</f>
        <v>0</v>
      </c>
      <c r="H596" s="149"/>
      <c r="I596" s="149">
        <f>INDEX('Step 4 Stage Discharge'!E$26:M$126,MATCH(F596,'Step 4 Stage Discharge'!E$26:E$126,1),9)+(INDEX('Step 4 Stage Discharge'!E$26:M$126,MATCH('Step 5 Routing'!F596,'Step 4 Stage Discharge'!E$26:E$126,1)+1,9)-INDEX('Step 4 Stage Discharge'!E$26:M$126,MATCH('Step 5 Routing'!F596,'Step 4 Stage Discharge'!E$26:E$126,1),9))*('Step 5 Routing'!F596-INDEX('Step 4 Stage Discharge'!E$26:M$126,MATCH('Step 5 Routing'!F596,'Step 4 Stage Discharge'!E$26:E$126,1),1))/(INDEX('Step 4 Stage Discharge'!E$26:M$126,MATCH('Step 5 Routing'!F596,'Step 4 Stage Discharge'!E$26:E$126,1)+1,1)-INDEX('Step 4 Stage Discharge'!E$26:M$126,MATCH('Step 5 Routing'!F596,'Step 4 Stage Discharge'!E$26:E$126,1),1))</f>
        <v>4.3639431710317386E-3</v>
      </c>
      <c r="J596" s="149"/>
      <c r="K596" s="6">
        <f t="shared" si="46"/>
        <v>0</v>
      </c>
      <c r="L596" s="6">
        <f t="shared" si="47"/>
        <v>0</v>
      </c>
    </row>
    <row r="597" spans="1:12">
      <c r="A597">
        <f t="shared" si="48"/>
        <v>584</v>
      </c>
      <c r="B597" s="136">
        <f>IF(C$5=Data!D$3,'Step 2 Inflow Hydrograph'!H641,IF(C$5=Data!D$4,'Step 2 Inflow Hydrograph'!I641,IF(C$5=Data!D$5,'Step 2 Inflow Hydrograph'!J641,'Step 2 Inflow Hydrograph'!K641)))</f>
        <v>0</v>
      </c>
      <c r="C597" s="127"/>
      <c r="D597" s="6">
        <f t="shared" si="45"/>
        <v>0</v>
      </c>
      <c r="E597" s="6"/>
      <c r="F597" s="6">
        <f t="shared" si="49"/>
        <v>0</v>
      </c>
      <c r="G597" s="149">
        <f>INDEX('Step 4 Stage Discharge'!E$26:F$126,MATCH(F597,'Step 4 Stage Discharge'!E$26:E$126,1),2)+(INDEX('Step 4 Stage Discharge'!E$26:F$126,MATCH(F597,'Step 4 Stage Discharge'!E$26:E$126,1)+1,2)-INDEX('Step 4 Stage Discharge'!E$26:F$126,MATCH(F597,'Step 4 Stage Discharge'!E$26:E$126,1),2))*(F597-INDEX('Step 4 Stage Discharge'!E$26:F$126,MATCH(F597,'Step 4 Stage Discharge'!E$26:E$126,1),1))/(INDEX('Step 4 Stage Discharge'!E$26:F$126,MATCH(F597,'Step 4 Stage Discharge'!E$26:E$126,1)+1,1)-INDEX('Step 4 Stage Discharge'!E$26:F$126,MATCH(F597,'Step 4 Stage Discharge'!E$26:E$126,1),1))</f>
        <v>0</v>
      </c>
      <c r="H597" s="149"/>
      <c r="I597" s="149">
        <f>INDEX('Step 4 Stage Discharge'!E$26:M$126,MATCH(F597,'Step 4 Stage Discharge'!E$26:E$126,1),9)+(INDEX('Step 4 Stage Discharge'!E$26:M$126,MATCH('Step 5 Routing'!F597,'Step 4 Stage Discharge'!E$26:E$126,1)+1,9)-INDEX('Step 4 Stage Discharge'!E$26:M$126,MATCH('Step 5 Routing'!F597,'Step 4 Stage Discharge'!E$26:E$126,1),9))*('Step 5 Routing'!F597-INDEX('Step 4 Stage Discharge'!E$26:M$126,MATCH('Step 5 Routing'!F597,'Step 4 Stage Discharge'!E$26:E$126,1),1))/(INDEX('Step 4 Stage Discharge'!E$26:M$126,MATCH('Step 5 Routing'!F597,'Step 4 Stage Discharge'!E$26:E$126,1)+1,1)-INDEX('Step 4 Stage Discharge'!E$26:M$126,MATCH('Step 5 Routing'!F597,'Step 4 Stage Discharge'!E$26:E$126,1),1))</f>
        <v>4.3639431710317386E-3</v>
      </c>
      <c r="J597" s="149"/>
      <c r="K597" s="6">
        <f t="shared" si="46"/>
        <v>0</v>
      </c>
      <c r="L597" s="6">
        <f t="shared" si="47"/>
        <v>0</v>
      </c>
    </row>
    <row r="598" spans="1:12">
      <c r="A598">
        <f t="shared" si="48"/>
        <v>585</v>
      </c>
      <c r="B598" s="136">
        <f>IF(C$5=Data!D$3,'Step 2 Inflow Hydrograph'!H642,IF(C$5=Data!D$4,'Step 2 Inflow Hydrograph'!I642,IF(C$5=Data!D$5,'Step 2 Inflow Hydrograph'!J642,'Step 2 Inflow Hydrograph'!K642)))</f>
        <v>0</v>
      </c>
      <c r="C598" s="127"/>
      <c r="D598" s="6">
        <f t="shared" si="45"/>
        <v>0</v>
      </c>
      <c r="E598" s="6"/>
      <c r="F598" s="6">
        <f t="shared" si="49"/>
        <v>0</v>
      </c>
      <c r="G598" s="149">
        <f>INDEX('Step 4 Stage Discharge'!E$26:F$126,MATCH(F598,'Step 4 Stage Discharge'!E$26:E$126,1),2)+(INDEX('Step 4 Stage Discharge'!E$26:F$126,MATCH(F598,'Step 4 Stage Discharge'!E$26:E$126,1)+1,2)-INDEX('Step 4 Stage Discharge'!E$26:F$126,MATCH(F598,'Step 4 Stage Discharge'!E$26:E$126,1),2))*(F598-INDEX('Step 4 Stage Discharge'!E$26:F$126,MATCH(F598,'Step 4 Stage Discharge'!E$26:E$126,1),1))/(INDEX('Step 4 Stage Discharge'!E$26:F$126,MATCH(F598,'Step 4 Stage Discharge'!E$26:E$126,1)+1,1)-INDEX('Step 4 Stage Discharge'!E$26:F$126,MATCH(F598,'Step 4 Stage Discharge'!E$26:E$126,1),1))</f>
        <v>0</v>
      </c>
      <c r="H598" s="149"/>
      <c r="I598" s="149">
        <f>INDEX('Step 4 Stage Discharge'!E$26:M$126,MATCH(F598,'Step 4 Stage Discharge'!E$26:E$126,1),9)+(INDEX('Step 4 Stage Discharge'!E$26:M$126,MATCH('Step 5 Routing'!F598,'Step 4 Stage Discharge'!E$26:E$126,1)+1,9)-INDEX('Step 4 Stage Discharge'!E$26:M$126,MATCH('Step 5 Routing'!F598,'Step 4 Stage Discharge'!E$26:E$126,1),9))*('Step 5 Routing'!F598-INDEX('Step 4 Stage Discharge'!E$26:M$126,MATCH('Step 5 Routing'!F598,'Step 4 Stage Discharge'!E$26:E$126,1),1))/(INDEX('Step 4 Stage Discharge'!E$26:M$126,MATCH('Step 5 Routing'!F598,'Step 4 Stage Discharge'!E$26:E$126,1)+1,1)-INDEX('Step 4 Stage Discharge'!E$26:M$126,MATCH('Step 5 Routing'!F598,'Step 4 Stage Discharge'!E$26:E$126,1),1))</f>
        <v>4.3639431710317386E-3</v>
      </c>
      <c r="J598" s="149"/>
      <c r="K598" s="6">
        <f t="shared" si="46"/>
        <v>0</v>
      </c>
      <c r="L598" s="6">
        <f t="shared" si="47"/>
        <v>0</v>
      </c>
    </row>
    <row r="599" spans="1:12">
      <c r="A599">
        <f t="shared" si="48"/>
        <v>586</v>
      </c>
      <c r="B599" s="136">
        <f>IF(C$5=Data!D$3,'Step 2 Inflow Hydrograph'!H643,IF(C$5=Data!D$4,'Step 2 Inflow Hydrograph'!I643,IF(C$5=Data!D$5,'Step 2 Inflow Hydrograph'!J643,'Step 2 Inflow Hydrograph'!K643)))</f>
        <v>0</v>
      </c>
      <c r="C599" s="127"/>
      <c r="D599" s="6">
        <f t="shared" si="45"/>
        <v>0</v>
      </c>
      <c r="E599" s="6"/>
      <c r="F599" s="6">
        <f t="shared" si="49"/>
        <v>0</v>
      </c>
      <c r="G599" s="149">
        <f>INDEX('Step 4 Stage Discharge'!E$26:F$126,MATCH(F599,'Step 4 Stage Discharge'!E$26:E$126,1),2)+(INDEX('Step 4 Stage Discharge'!E$26:F$126,MATCH(F599,'Step 4 Stage Discharge'!E$26:E$126,1)+1,2)-INDEX('Step 4 Stage Discharge'!E$26:F$126,MATCH(F599,'Step 4 Stage Discharge'!E$26:E$126,1),2))*(F599-INDEX('Step 4 Stage Discharge'!E$26:F$126,MATCH(F599,'Step 4 Stage Discharge'!E$26:E$126,1),1))/(INDEX('Step 4 Stage Discharge'!E$26:F$126,MATCH(F599,'Step 4 Stage Discharge'!E$26:E$126,1)+1,1)-INDEX('Step 4 Stage Discharge'!E$26:F$126,MATCH(F599,'Step 4 Stage Discharge'!E$26:E$126,1),1))</f>
        <v>0</v>
      </c>
      <c r="H599" s="149"/>
      <c r="I599" s="149">
        <f>INDEX('Step 4 Stage Discharge'!E$26:M$126,MATCH(F599,'Step 4 Stage Discharge'!E$26:E$126,1),9)+(INDEX('Step 4 Stage Discharge'!E$26:M$126,MATCH('Step 5 Routing'!F599,'Step 4 Stage Discharge'!E$26:E$126,1)+1,9)-INDEX('Step 4 Stage Discharge'!E$26:M$126,MATCH('Step 5 Routing'!F599,'Step 4 Stage Discharge'!E$26:E$126,1),9))*('Step 5 Routing'!F599-INDEX('Step 4 Stage Discharge'!E$26:M$126,MATCH('Step 5 Routing'!F599,'Step 4 Stage Discharge'!E$26:E$126,1),1))/(INDEX('Step 4 Stage Discharge'!E$26:M$126,MATCH('Step 5 Routing'!F599,'Step 4 Stage Discharge'!E$26:E$126,1)+1,1)-INDEX('Step 4 Stage Discharge'!E$26:M$126,MATCH('Step 5 Routing'!F599,'Step 4 Stage Discharge'!E$26:E$126,1),1))</f>
        <v>4.3639431710317386E-3</v>
      </c>
      <c r="J599" s="149"/>
      <c r="K599" s="6">
        <f t="shared" si="46"/>
        <v>0</v>
      </c>
      <c r="L599" s="6">
        <f t="shared" si="47"/>
        <v>0</v>
      </c>
    </row>
    <row r="600" spans="1:12">
      <c r="A600">
        <f t="shared" si="48"/>
        <v>587</v>
      </c>
      <c r="B600" s="136">
        <f>IF(C$5=Data!D$3,'Step 2 Inflow Hydrograph'!H644,IF(C$5=Data!D$4,'Step 2 Inflow Hydrograph'!I644,IF(C$5=Data!D$5,'Step 2 Inflow Hydrograph'!J644,'Step 2 Inflow Hydrograph'!K644)))</f>
        <v>0</v>
      </c>
      <c r="C600" s="127"/>
      <c r="D600" s="6">
        <f t="shared" si="45"/>
        <v>0</v>
      </c>
      <c r="E600" s="6"/>
      <c r="F600" s="6">
        <f t="shared" si="49"/>
        <v>0</v>
      </c>
      <c r="G600" s="149">
        <f>INDEX('Step 4 Stage Discharge'!E$26:F$126,MATCH(F600,'Step 4 Stage Discharge'!E$26:E$126,1),2)+(INDEX('Step 4 Stage Discharge'!E$26:F$126,MATCH(F600,'Step 4 Stage Discharge'!E$26:E$126,1)+1,2)-INDEX('Step 4 Stage Discharge'!E$26:F$126,MATCH(F600,'Step 4 Stage Discharge'!E$26:E$126,1),2))*(F600-INDEX('Step 4 Stage Discharge'!E$26:F$126,MATCH(F600,'Step 4 Stage Discharge'!E$26:E$126,1),1))/(INDEX('Step 4 Stage Discharge'!E$26:F$126,MATCH(F600,'Step 4 Stage Discharge'!E$26:E$126,1)+1,1)-INDEX('Step 4 Stage Discharge'!E$26:F$126,MATCH(F600,'Step 4 Stage Discharge'!E$26:E$126,1),1))</f>
        <v>0</v>
      </c>
      <c r="H600" s="149"/>
      <c r="I600" s="149">
        <f>INDEX('Step 4 Stage Discharge'!E$26:M$126,MATCH(F600,'Step 4 Stage Discharge'!E$26:E$126,1),9)+(INDEX('Step 4 Stage Discharge'!E$26:M$126,MATCH('Step 5 Routing'!F600,'Step 4 Stage Discharge'!E$26:E$126,1)+1,9)-INDEX('Step 4 Stage Discharge'!E$26:M$126,MATCH('Step 5 Routing'!F600,'Step 4 Stage Discharge'!E$26:E$126,1),9))*('Step 5 Routing'!F600-INDEX('Step 4 Stage Discharge'!E$26:M$126,MATCH('Step 5 Routing'!F600,'Step 4 Stage Discharge'!E$26:E$126,1),1))/(INDEX('Step 4 Stage Discharge'!E$26:M$126,MATCH('Step 5 Routing'!F600,'Step 4 Stage Discharge'!E$26:E$126,1)+1,1)-INDEX('Step 4 Stage Discharge'!E$26:M$126,MATCH('Step 5 Routing'!F600,'Step 4 Stage Discharge'!E$26:E$126,1),1))</f>
        <v>4.3639431710317386E-3</v>
      </c>
      <c r="J600" s="149"/>
      <c r="K600" s="6">
        <f t="shared" si="46"/>
        <v>0</v>
      </c>
      <c r="L600" s="6">
        <f t="shared" si="47"/>
        <v>0</v>
      </c>
    </row>
    <row r="601" spans="1:12">
      <c r="A601">
        <f t="shared" si="48"/>
        <v>588</v>
      </c>
      <c r="B601" s="136">
        <f>IF(C$5=Data!D$3,'Step 2 Inflow Hydrograph'!H645,IF(C$5=Data!D$4,'Step 2 Inflow Hydrograph'!I645,IF(C$5=Data!D$5,'Step 2 Inflow Hydrograph'!J645,'Step 2 Inflow Hydrograph'!K645)))</f>
        <v>0</v>
      </c>
      <c r="C601" s="127"/>
      <c r="D601" s="6">
        <f t="shared" si="45"/>
        <v>0</v>
      </c>
      <c r="E601" s="6"/>
      <c r="F601" s="6">
        <f t="shared" si="49"/>
        <v>0</v>
      </c>
      <c r="G601" s="149">
        <f>INDEX('Step 4 Stage Discharge'!E$26:F$126,MATCH(F601,'Step 4 Stage Discharge'!E$26:E$126,1),2)+(INDEX('Step 4 Stage Discharge'!E$26:F$126,MATCH(F601,'Step 4 Stage Discharge'!E$26:E$126,1)+1,2)-INDEX('Step 4 Stage Discharge'!E$26:F$126,MATCH(F601,'Step 4 Stage Discharge'!E$26:E$126,1),2))*(F601-INDEX('Step 4 Stage Discharge'!E$26:F$126,MATCH(F601,'Step 4 Stage Discharge'!E$26:E$126,1),1))/(INDEX('Step 4 Stage Discharge'!E$26:F$126,MATCH(F601,'Step 4 Stage Discharge'!E$26:E$126,1)+1,1)-INDEX('Step 4 Stage Discharge'!E$26:F$126,MATCH(F601,'Step 4 Stage Discharge'!E$26:E$126,1),1))</f>
        <v>0</v>
      </c>
      <c r="H601" s="149"/>
      <c r="I601" s="149">
        <f>INDEX('Step 4 Stage Discharge'!E$26:M$126,MATCH(F601,'Step 4 Stage Discharge'!E$26:E$126,1),9)+(INDEX('Step 4 Stage Discharge'!E$26:M$126,MATCH('Step 5 Routing'!F601,'Step 4 Stage Discharge'!E$26:E$126,1)+1,9)-INDEX('Step 4 Stage Discharge'!E$26:M$126,MATCH('Step 5 Routing'!F601,'Step 4 Stage Discharge'!E$26:E$126,1),9))*('Step 5 Routing'!F601-INDEX('Step 4 Stage Discharge'!E$26:M$126,MATCH('Step 5 Routing'!F601,'Step 4 Stage Discharge'!E$26:E$126,1),1))/(INDEX('Step 4 Stage Discharge'!E$26:M$126,MATCH('Step 5 Routing'!F601,'Step 4 Stage Discharge'!E$26:E$126,1)+1,1)-INDEX('Step 4 Stage Discharge'!E$26:M$126,MATCH('Step 5 Routing'!F601,'Step 4 Stage Discharge'!E$26:E$126,1),1))</f>
        <v>4.3639431710317386E-3</v>
      </c>
      <c r="J601" s="149"/>
      <c r="K601" s="6">
        <f t="shared" si="46"/>
        <v>0</v>
      </c>
      <c r="L601" s="6">
        <f t="shared" si="47"/>
        <v>0</v>
      </c>
    </row>
    <row r="602" spans="1:12">
      <c r="A602">
        <f t="shared" si="48"/>
        <v>589</v>
      </c>
      <c r="B602" s="136">
        <f>IF(C$5=Data!D$3,'Step 2 Inflow Hydrograph'!H646,IF(C$5=Data!D$4,'Step 2 Inflow Hydrograph'!I646,IF(C$5=Data!D$5,'Step 2 Inflow Hydrograph'!J646,'Step 2 Inflow Hydrograph'!K646)))</f>
        <v>0</v>
      </c>
      <c r="C602" s="127"/>
      <c r="D602" s="6">
        <f t="shared" si="45"/>
        <v>0</v>
      </c>
      <c r="E602" s="6"/>
      <c r="F602" s="6">
        <f t="shared" si="49"/>
        <v>0</v>
      </c>
      <c r="G602" s="149">
        <f>INDEX('Step 4 Stage Discharge'!E$26:F$126,MATCH(F602,'Step 4 Stage Discharge'!E$26:E$126,1),2)+(INDEX('Step 4 Stage Discharge'!E$26:F$126,MATCH(F602,'Step 4 Stage Discharge'!E$26:E$126,1)+1,2)-INDEX('Step 4 Stage Discharge'!E$26:F$126,MATCH(F602,'Step 4 Stage Discharge'!E$26:E$126,1),2))*(F602-INDEX('Step 4 Stage Discharge'!E$26:F$126,MATCH(F602,'Step 4 Stage Discharge'!E$26:E$126,1),1))/(INDEX('Step 4 Stage Discharge'!E$26:F$126,MATCH(F602,'Step 4 Stage Discharge'!E$26:E$126,1)+1,1)-INDEX('Step 4 Stage Discharge'!E$26:F$126,MATCH(F602,'Step 4 Stage Discharge'!E$26:E$126,1),1))</f>
        <v>0</v>
      </c>
      <c r="H602" s="149"/>
      <c r="I602" s="149">
        <f>INDEX('Step 4 Stage Discharge'!E$26:M$126,MATCH(F602,'Step 4 Stage Discharge'!E$26:E$126,1),9)+(INDEX('Step 4 Stage Discharge'!E$26:M$126,MATCH('Step 5 Routing'!F602,'Step 4 Stage Discharge'!E$26:E$126,1)+1,9)-INDEX('Step 4 Stage Discharge'!E$26:M$126,MATCH('Step 5 Routing'!F602,'Step 4 Stage Discharge'!E$26:E$126,1),9))*('Step 5 Routing'!F602-INDEX('Step 4 Stage Discharge'!E$26:M$126,MATCH('Step 5 Routing'!F602,'Step 4 Stage Discharge'!E$26:E$126,1),1))/(INDEX('Step 4 Stage Discharge'!E$26:M$126,MATCH('Step 5 Routing'!F602,'Step 4 Stage Discharge'!E$26:E$126,1)+1,1)-INDEX('Step 4 Stage Discharge'!E$26:M$126,MATCH('Step 5 Routing'!F602,'Step 4 Stage Discharge'!E$26:E$126,1),1))</f>
        <v>4.3639431710317386E-3</v>
      </c>
      <c r="J602" s="149"/>
      <c r="K602" s="6">
        <f t="shared" si="46"/>
        <v>0</v>
      </c>
      <c r="L602" s="6">
        <f t="shared" si="47"/>
        <v>0</v>
      </c>
    </row>
    <row r="603" spans="1:12">
      <c r="A603">
        <f t="shared" si="48"/>
        <v>590</v>
      </c>
      <c r="B603" s="136">
        <f>IF(C$5=Data!D$3,'Step 2 Inflow Hydrograph'!H647,IF(C$5=Data!D$4,'Step 2 Inflow Hydrograph'!I647,IF(C$5=Data!D$5,'Step 2 Inflow Hydrograph'!J647,'Step 2 Inflow Hydrograph'!K647)))</f>
        <v>0</v>
      </c>
      <c r="C603" s="127"/>
      <c r="D603" s="6">
        <f t="shared" si="45"/>
        <v>0</v>
      </c>
      <c r="E603" s="6"/>
      <c r="F603" s="6">
        <f t="shared" si="49"/>
        <v>0</v>
      </c>
      <c r="G603" s="149">
        <f>INDEX('Step 4 Stage Discharge'!E$26:F$126,MATCH(F603,'Step 4 Stage Discharge'!E$26:E$126,1),2)+(INDEX('Step 4 Stage Discharge'!E$26:F$126,MATCH(F603,'Step 4 Stage Discharge'!E$26:E$126,1)+1,2)-INDEX('Step 4 Stage Discharge'!E$26:F$126,MATCH(F603,'Step 4 Stage Discharge'!E$26:E$126,1),2))*(F603-INDEX('Step 4 Stage Discharge'!E$26:F$126,MATCH(F603,'Step 4 Stage Discharge'!E$26:E$126,1),1))/(INDEX('Step 4 Stage Discharge'!E$26:F$126,MATCH(F603,'Step 4 Stage Discharge'!E$26:E$126,1)+1,1)-INDEX('Step 4 Stage Discharge'!E$26:F$126,MATCH(F603,'Step 4 Stage Discharge'!E$26:E$126,1),1))</f>
        <v>0</v>
      </c>
      <c r="H603" s="149"/>
      <c r="I603" s="149">
        <f>INDEX('Step 4 Stage Discharge'!E$26:M$126,MATCH(F603,'Step 4 Stage Discharge'!E$26:E$126,1),9)+(INDEX('Step 4 Stage Discharge'!E$26:M$126,MATCH('Step 5 Routing'!F603,'Step 4 Stage Discharge'!E$26:E$126,1)+1,9)-INDEX('Step 4 Stage Discharge'!E$26:M$126,MATCH('Step 5 Routing'!F603,'Step 4 Stage Discharge'!E$26:E$126,1),9))*('Step 5 Routing'!F603-INDEX('Step 4 Stage Discharge'!E$26:M$126,MATCH('Step 5 Routing'!F603,'Step 4 Stage Discharge'!E$26:E$126,1),1))/(INDEX('Step 4 Stage Discharge'!E$26:M$126,MATCH('Step 5 Routing'!F603,'Step 4 Stage Discharge'!E$26:E$126,1)+1,1)-INDEX('Step 4 Stage Discharge'!E$26:M$126,MATCH('Step 5 Routing'!F603,'Step 4 Stage Discharge'!E$26:E$126,1),1))</f>
        <v>4.3639431710317386E-3</v>
      </c>
      <c r="J603" s="149"/>
      <c r="K603" s="6">
        <f t="shared" si="46"/>
        <v>0</v>
      </c>
      <c r="L603" s="6">
        <f t="shared" si="47"/>
        <v>0</v>
      </c>
    </row>
    <row r="604" spans="1:12">
      <c r="A604">
        <f t="shared" si="48"/>
        <v>591</v>
      </c>
      <c r="B604" s="136">
        <f>IF(C$5=Data!D$3,'Step 2 Inflow Hydrograph'!H648,IF(C$5=Data!D$4,'Step 2 Inflow Hydrograph'!I648,IF(C$5=Data!D$5,'Step 2 Inflow Hydrograph'!J648,'Step 2 Inflow Hydrograph'!K648)))</f>
        <v>0</v>
      </c>
      <c r="C604" s="127"/>
      <c r="D604" s="6">
        <f t="shared" si="45"/>
        <v>0</v>
      </c>
      <c r="E604" s="6"/>
      <c r="F604" s="6">
        <f t="shared" si="49"/>
        <v>0</v>
      </c>
      <c r="G604" s="149">
        <f>INDEX('Step 4 Stage Discharge'!E$26:F$126,MATCH(F604,'Step 4 Stage Discharge'!E$26:E$126,1),2)+(INDEX('Step 4 Stage Discharge'!E$26:F$126,MATCH(F604,'Step 4 Stage Discharge'!E$26:E$126,1)+1,2)-INDEX('Step 4 Stage Discharge'!E$26:F$126,MATCH(F604,'Step 4 Stage Discharge'!E$26:E$126,1),2))*(F604-INDEX('Step 4 Stage Discharge'!E$26:F$126,MATCH(F604,'Step 4 Stage Discharge'!E$26:E$126,1),1))/(INDEX('Step 4 Stage Discharge'!E$26:F$126,MATCH(F604,'Step 4 Stage Discharge'!E$26:E$126,1)+1,1)-INDEX('Step 4 Stage Discharge'!E$26:F$126,MATCH(F604,'Step 4 Stage Discharge'!E$26:E$126,1),1))</f>
        <v>0</v>
      </c>
      <c r="H604" s="149"/>
      <c r="I604" s="149">
        <f>INDEX('Step 4 Stage Discharge'!E$26:M$126,MATCH(F604,'Step 4 Stage Discharge'!E$26:E$126,1),9)+(INDEX('Step 4 Stage Discharge'!E$26:M$126,MATCH('Step 5 Routing'!F604,'Step 4 Stage Discharge'!E$26:E$126,1)+1,9)-INDEX('Step 4 Stage Discharge'!E$26:M$126,MATCH('Step 5 Routing'!F604,'Step 4 Stage Discharge'!E$26:E$126,1),9))*('Step 5 Routing'!F604-INDEX('Step 4 Stage Discharge'!E$26:M$126,MATCH('Step 5 Routing'!F604,'Step 4 Stage Discharge'!E$26:E$126,1),1))/(INDEX('Step 4 Stage Discharge'!E$26:M$126,MATCH('Step 5 Routing'!F604,'Step 4 Stage Discharge'!E$26:E$126,1)+1,1)-INDEX('Step 4 Stage Discharge'!E$26:M$126,MATCH('Step 5 Routing'!F604,'Step 4 Stage Discharge'!E$26:E$126,1),1))</f>
        <v>4.3639431710317386E-3</v>
      </c>
      <c r="J604" s="149"/>
      <c r="K604" s="6">
        <f t="shared" si="46"/>
        <v>0</v>
      </c>
      <c r="L604" s="6">
        <f t="shared" si="47"/>
        <v>0</v>
      </c>
    </row>
    <row r="605" spans="1:12">
      <c r="A605">
        <f t="shared" si="48"/>
        <v>592</v>
      </c>
      <c r="B605" s="136">
        <f>IF(C$5=Data!D$3,'Step 2 Inflow Hydrograph'!H649,IF(C$5=Data!D$4,'Step 2 Inflow Hydrograph'!I649,IF(C$5=Data!D$5,'Step 2 Inflow Hydrograph'!J649,'Step 2 Inflow Hydrograph'!K649)))</f>
        <v>0</v>
      </c>
      <c r="C605" s="127"/>
      <c r="D605" s="6">
        <f t="shared" si="45"/>
        <v>0</v>
      </c>
      <c r="E605" s="6"/>
      <c r="F605" s="6">
        <f t="shared" si="49"/>
        <v>0</v>
      </c>
      <c r="G605" s="149">
        <f>INDEX('Step 4 Stage Discharge'!E$26:F$126,MATCH(F605,'Step 4 Stage Discharge'!E$26:E$126,1),2)+(INDEX('Step 4 Stage Discharge'!E$26:F$126,MATCH(F605,'Step 4 Stage Discharge'!E$26:E$126,1)+1,2)-INDEX('Step 4 Stage Discharge'!E$26:F$126,MATCH(F605,'Step 4 Stage Discharge'!E$26:E$126,1),2))*(F605-INDEX('Step 4 Stage Discharge'!E$26:F$126,MATCH(F605,'Step 4 Stage Discharge'!E$26:E$126,1),1))/(INDEX('Step 4 Stage Discharge'!E$26:F$126,MATCH(F605,'Step 4 Stage Discharge'!E$26:E$126,1)+1,1)-INDEX('Step 4 Stage Discharge'!E$26:F$126,MATCH(F605,'Step 4 Stage Discharge'!E$26:E$126,1),1))</f>
        <v>0</v>
      </c>
      <c r="H605" s="149"/>
      <c r="I605" s="149">
        <f>INDEX('Step 4 Stage Discharge'!E$26:M$126,MATCH(F605,'Step 4 Stage Discharge'!E$26:E$126,1),9)+(INDEX('Step 4 Stage Discharge'!E$26:M$126,MATCH('Step 5 Routing'!F605,'Step 4 Stage Discharge'!E$26:E$126,1)+1,9)-INDEX('Step 4 Stage Discharge'!E$26:M$126,MATCH('Step 5 Routing'!F605,'Step 4 Stage Discharge'!E$26:E$126,1),9))*('Step 5 Routing'!F605-INDEX('Step 4 Stage Discharge'!E$26:M$126,MATCH('Step 5 Routing'!F605,'Step 4 Stage Discharge'!E$26:E$126,1),1))/(INDEX('Step 4 Stage Discharge'!E$26:M$126,MATCH('Step 5 Routing'!F605,'Step 4 Stage Discharge'!E$26:E$126,1)+1,1)-INDEX('Step 4 Stage Discharge'!E$26:M$126,MATCH('Step 5 Routing'!F605,'Step 4 Stage Discharge'!E$26:E$126,1),1))</f>
        <v>4.3639431710317386E-3</v>
      </c>
      <c r="J605" s="149"/>
      <c r="K605" s="6">
        <f t="shared" si="46"/>
        <v>0</v>
      </c>
      <c r="L605" s="6">
        <f t="shared" si="47"/>
        <v>0</v>
      </c>
    </row>
    <row r="606" spans="1:12">
      <c r="A606">
        <f t="shared" si="48"/>
        <v>593</v>
      </c>
      <c r="B606" s="136">
        <f>IF(C$5=Data!D$3,'Step 2 Inflow Hydrograph'!H650,IF(C$5=Data!D$4,'Step 2 Inflow Hydrograph'!I650,IF(C$5=Data!D$5,'Step 2 Inflow Hydrograph'!J650,'Step 2 Inflow Hydrograph'!K650)))</f>
        <v>0</v>
      </c>
      <c r="C606" s="127"/>
      <c r="D606" s="6">
        <f t="shared" si="45"/>
        <v>0</v>
      </c>
      <c r="E606" s="6"/>
      <c r="F606" s="6">
        <f t="shared" si="49"/>
        <v>0</v>
      </c>
      <c r="G606" s="149">
        <f>INDEX('Step 4 Stage Discharge'!E$26:F$126,MATCH(F606,'Step 4 Stage Discharge'!E$26:E$126,1),2)+(INDEX('Step 4 Stage Discharge'!E$26:F$126,MATCH(F606,'Step 4 Stage Discharge'!E$26:E$126,1)+1,2)-INDEX('Step 4 Stage Discharge'!E$26:F$126,MATCH(F606,'Step 4 Stage Discharge'!E$26:E$126,1),2))*(F606-INDEX('Step 4 Stage Discharge'!E$26:F$126,MATCH(F606,'Step 4 Stage Discharge'!E$26:E$126,1),1))/(INDEX('Step 4 Stage Discharge'!E$26:F$126,MATCH(F606,'Step 4 Stage Discharge'!E$26:E$126,1)+1,1)-INDEX('Step 4 Stage Discharge'!E$26:F$126,MATCH(F606,'Step 4 Stage Discharge'!E$26:E$126,1),1))</f>
        <v>0</v>
      </c>
      <c r="H606" s="149"/>
      <c r="I606" s="149">
        <f>INDEX('Step 4 Stage Discharge'!E$26:M$126,MATCH(F606,'Step 4 Stage Discharge'!E$26:E$126,1),9)+(INDEX('Step 4 Stage Discharge'!E$26:M$126,MATCH('Step 5 Routing'!F606,'Step 4 Stage Discharge'!E$26:E$126,1)+1,9)-INDEX('Step 4 Stage Discharge'!E$26:M$126,MATCH('Step 5 Routing'!F606,'Step 4 Stage Discharge'!E$26:E$126,1),9))*('Step 5 Routing'!F606-INDEX('Step 4 Stage Discharge'!E$26:M$126,MATCH('Step 5 Routing'!F606,'Step 4 Stage Discharge'!E$26:E$126,1),1))/(INDEX('Step 4 Stage Discharge'!E$26:M$126,MATCH('Step 5 Routing'!F606,'Step 4 Stage Discharge'!E$26:E$126,1)+1,1)-INDEX('Step 4 Stage Discharge'!E$26:M$126,MATCH('Step 5 Routing'!F606,'Step 4 Stage Discharge'!E$26:E$126,1),1))</f>
        <v>4.3639431710317386E-3</v>
      </c>
      <c r="J606" s="149"/>
      <c r="K606" s="6">
        <f t="shared" si="46"/>
        <v>0</v>
      </c>
      <c r="L606" s="6">
        <f t="shared" si="47"/>
        <v>0</v>
      </c>
    </row>
    <row r="607" spans="1:12">
      <c r="A607">
        <f t="shared" si="48"/>
        <v>594</v>
      </c>
      <c r="B607" s="136">
        <f>IF(C$5=Data!D$3,'Step 2 Inflow Hydrograph'!H651,IF(C$5=Data!D$4,'Step 2 Inflow Hydrograph'!I651,IF(C$5=Data!D$5,'Step 2 Inflow Hydrograph'!J651,'Step 2 Inflow Hydrograph'!K651)))</f>
        <v>0</v>
      </c>
      <c r="C607" s="127"/>
      <c r="D607" s="6">
        <f t="shared" si="45"/>
        <v>0</v>
      </c>
      <c r="E607" s="6"/>
      <c r="F607" s="6">
        <f t="shared" si="49"/>
        <v>0</v>
      </c>
      <c r="G607" s="149">
        <f>INDEX('Step 4 Stage Discharge'!E$26:F$126,MATCH(F607,'Step 4 Stage Discharge'!E$26:E$126,1),2)+(INDEX('Step 4 Stage Discharge'!E$26:F$126,MATCH(F607,'Step 4 Stage Discharge'!E$26:E$126,1)+1,2)-INDEX('Step 4 Stage Discharge'!E$26:F$126,MATCH(F607,'Step 4 Stage Discharge'!E$26:E$126,1),2))*(F607-INDEX('Step 4 Stage Discharge'!E$26:F$126,MATCH(F607,'Step 4 Stage Discharge'!E$26:E$126,1),1))/(INDEX('Step 4 Stage Discharge'!E$26:F$126,MATCH(F607,'Step 4 Stage Discharge'!E$26:E$126,1)+1,1)-INDEX('Step 4 Stage Discharge'!E$26:F$126,MATCH(F607,'Step 4 Stage Discharge'!E$26:E$126,1),1))</f>
        <v>0</v>
      </c>
      <c r="H607" s="149"/>
      <c r="I607" s="149">
        <f>INDEX('Step 4 Stage Discharge'!E$26:M$126,MATCH(F607,'Step 4 Stage Discharge'!E$26:E$126,1),9)+(INDEX('Step 4 Stage Discharge'!E$26:M$126,MATCH('Step 5 Routing'!F607,'Step 4 Stage Discharge'!E$26:E$126,1)+1,9)-INDEX('Step 4 Stage Discharge'!E$26:M$126,MATCH('Step 5 Routing'!F607,'Step 4 Stage Discharge'!E$26:E$126,1),9))*('Step 5 Routing'!F607-INDEX('Step 4 Stage Discharge'!E$26:M$126,MATCH('Step 5 Routing'!F607,'Step 4 Stage Discharge'!E$26:E$126,1),1))/(INDEX('Step 4 Stage Discharge'!E$26:M$126,MATCH('Step 5 Routing'!F607,'Step 4 Stage Discharge'!E$26:E$126,1)+1,1)-INDEX('Step 4 Stage Discharge'!E$26:M$126,MATCH('Step 5 Routing'!F607,'Step 4 Stage Discharge'!E$26:E$126,1),1))</f>
        <v>4.3639431710317386E-3</v>
      </c>
      <c r="J607" s="149"/>
      <c r="K607" s="6">
        <f t="shared" si="46"/>
        <v>0</v>
      </c>
      <c r="L607" s="6">
        <f t="shared" si="47"/>
        <v>0</v>
      </c>
    </row>
    <row r="608" spans="1:12">
      <c r="A608">
        <f t="shared" si="48"/>
        <v>595</v>
      </c>
      <c r="B608" s="136">
        <f>IF(C$5=Data!D$3,'Step 2 Inflow Hydrograph'!H652,IF(C$5=Data!D$4,'Step 2 Inflow Hydrograph'!I652,IF(C$5=Data!D$5,'Step 2 Inflow Hydrograph'!J652,'Step 2 Inflow Hydrograph'!K652)))</f>
        <v>0</v>
      </c>
      <c r="C608" s="127"/>
      <c r="D608" s="6">
        <f t="shared" si="45"/>
        <v>0</v>
      </c>
      <c r="E608" s="6"/>
      <c r="F608" s="6">
        <f t="shared" si="49"/>
        <v>0</v>
      </c>
      <c r="G608" s="149">
        <f>INDEX('Step 4 Stage Discharge'!E$26:F$126,MATCH(F608,'Step 4 Stage Discharge'!E$26:E$126,1),2)+(INDEX('Step 4 Stage Discharge'!E$26:F$126,MATCH(F608,'Step 4 Stage Discharge'!E$26:E$126,1)+1,2)-INDEX('Step 4 Stage Discharge'!E$26:F$126,MATCH(F608,'Step 4 Stage Discharge'!E$26:E$126,1),2))*(F608-INDEX('Step 4 Stage Discharge'!E$26:F$126,MATCH(F608,'Step 4 Stage Discharge'!E$26:E$126,1),1))/(INDEX('Step 4 Stage Discharge'!E$26:F$126,MATCH(F608,'Step 4 Stage Discharge'!E$26:E$126,1)+1,1)-INDEX('Step 4 Stage Discharge'!E$26:F$126,MATCH(F608,'Step 4 Stage Discharge'!E$26:E$126,1),1))</f>
        <v>0</v>
      </c>
      <c r="H608" s="149"/>
      <c r="I608" s="149">
        <f>INDEX('Step 4 Stage Discharge'!E$26:M$126,MATCH(F608,'Step 4 Stage Discharge'!E$26:E$126,1),9)+(INDEX('Step 4 Stage Discharge'!E$26:M$126,MATCH('Step 5 Routing'!F608,'Step 4 Stage Discharge'!E$26:E$126,1)+1,9)-INDEX('Step 4 Stage Discharge'!E$26:M$126,MATCH('Step 5 Routing'!F608,'Step 4 Stage Discharge'!E$26:E$126,1),9))*('Step 5 Routing'!F608-INDEX('Step 4 Stage Discharge'!E$26:M$126,MATCH('Step 5 Routing'!F608,'Step 4 Stage Discharge'!E$26:E$126,1),1))/(INDEX('Step 4 Stage Discharge'!E$26:M$126,MATCH('Step 5 Routing'!F608,'Step 4 Stage Discharge'!E$26:E$126,1)+1,1)-INDEX('Step 4 Stage Discharge'!E$26:M$126,MATCH('Step 5 Routing'!F608,'Step 4 Stage Discharge'!E$26:E$126,1),1))</f>
        <v>4.3639431710317386E-3</v>
      </c>
      <c r="J608" s="149"/>
      <c r="K608" s="6">
        <f t="shared" si="46"/>
        <v>0</v>
      </c>
      <c r="L608" s="6">
        <f t="shared" si="47"/>
        <v>0</v>
      </c>
    </row>
    <row r="609" spans="1:12">
      <c r="A609">
        <f t="shared" si="48"/>
        <v>596</v>
      </c>
      <c r="B609" s="136">
        <f>IF(C$5=Data!D$3,'Step 2 Inflow Hydrograph'!H653,IF(C$5=Data!D$4,'Step 2 Inflow Hydrograph'!I653,IF(C$5=Data!D$5,'Step 2 Inflow Hydrograph'!J653,'Step 2 Inflow Hydrograph'!K653)))</f>
        <v>0</v>
      </c>
      <c r="C609" s="127"/>
      <c r="D609" s="6">
        <f t="shared" si="45"/>
        <v>0</v>
      </c>
      <c r="E609" s="6"/>
      <c r="F609" s="6">
        <f t="shared" si="49"/>
        <v>0</v>
      </c>
      <c r="G609" s="149">
        <f>INDEX('Step 4 Stage Discharge'!E$26:F$126,MATCH(F609,'Step 4 Stage Discharge'!E$26:E$126,1),2)+(INDEX('Step 4 Stage Discharge'!E$26:F$126,MATCH(F609,'Step 4 Stage Discharge'!E$26:E$126,1)+1,2)-INDEX('Step 4 Stage Discharge'!E$26:F$126,MATCH(F609,'Step 4 Stage Discharge'!E$26:E$126,1),2))*(F609-INDEX('Step 4 Stage Discharge'!E$26:F$126,MATCH(F609,'Step 4 Stage Discharge'!E$26:E$126,1),1))/(INDEX('Step 4 Stage Discharge'!E$26:F$126,MATCH(F609,'Step 4 Stage Discharge'!E$26:E$126,1)+1,1)-INDEX('Step 4 Stage Discharge'!E$26:F$126,MATCH(F609,'Step 4 Stage Discharge'!E$26:E$126,1),1))</f>
        <v>0</v>
      </c>
      <c r="H609" s="149"/>
      <c r="I609" s="149">
        <f>INDEX('Step 4 Stage Discharge'!E$26:M$126,MATCH(F609,'Step 4 Stage Discharge'!E$26:E$126,1),9)+(INDEX('Step 4 Stage Discharge'!E$26:M$126,MATCH('Step 5 Routing'!F609,'Step 4 Stage Discharge'!E$26:E$126,1)+1,9)-INDEX('Step 4 Stage Discharge'!E$26:M$126,MATCH('Step 5 Routing'!F609,'Step 4 Stage Discharge'!E$26:E$126,1),9))*('Step 5 Routing'!F609-INDEX('Step 4 Stage Discharge'!E$26:M$126,MATCH('Step 5 Routing'!F609,'Step 4 Stage Discharge'!E$26:E$126,1),1))/(INDEX('Step 4 Stage Discharge'!E$26:M$126,MATCH('Step 5 Routing'!F609,'Step 4 Stage Discharge'!E$26:E$126,1)+1,1)-INDEX('Step 4 Stage Discharge'!E$26:M$126,MATCH('Step 5 Routing'!F609,'Step 4 Stage Discharge'!E$26:E$126,1),1))</f>
        <v>4.3639431710317386E-3</v>
      </c>
      <c r="J609" s="149"/>
      <c r="K609" s="6">
        <f t="shared" si="46"/>
        <v>0</v>
      </c>
      <c r="L609" s="6">
        <f t="shared" si="47"/>
        <v>0</v>
      </c>
    </row>
    <row r="610" spans="1:12">
      <c r="A610">
        <f t="shared" si="48"/>
        <v>597</v>
      </c>
      <c r="B610" s="136">
        <f>IF(C$5=Data!D$3,'Step 2 Inflow Hydrograph'!H654,IF(C$5=Data!D$4,'Step 2 Inflow Hydrograph'!I654,IF(C$5=Data!D$5,'Step 2 Inflow Hydrograph'!J654,'Step 2 Inflow Hydrograph'!K654)))</f>
        <v>0</v>
      </c>
      <c r="C610" s="127"/>
      <c r="D610" s="6">
        <f t="shared" si="45"/>
        <v>0</v>
      </c>
      <c r="E610" s="6"/>
      <c r="F610" s="6">
        <f t="shared" si="49"/>
        <v>0</v>
      </c>
      <c r="G610" s="149">
        <f>INDEX('Step 4 Stage Discharge'!E$26:F$126,MATCH(F610,'Step 4 Stage Discharge'!E$26:E$126,1),2)+(INDEX('Step 4 Stage Discharge'!E$26:F$126,MATCH(F610,'Step 4 Stage Discharge'!E$26:E$126,1)+1,2)-INDEX('Step 4 Stage Discharge'!E$26:F$126,MATCH(F610,'Step 4 Stage Discharge'!E$26:E$126,1),2))*(F610-INDEX('Step 4 Stage Discharge'!E$26:F$126,MATCH(F610,'Step 4 Stage Discharge'!E$26:E$126,1),1))/(INDEX('Step 4 Stage Discharge'!E$26:F$126,MATCH(F610,'Step 4 Stage Discharge'!E$26:E$126,1)+1,1)-INDEX('Step 4 Stage Discharge'!E$26:F$126,MATCH(F610,'Step 4 Stage Discharge'!E$26:E$126,1),1))</f>
        <v>0</v>
      </c>
      <c r="H610" s="149"/>
      <c r="I610" s="149">
        <f>INDEX('Step 4 Stage Discharge'!E$26:M$126,MATCH(F610,'Step 4 Stage Discharge'!E$26:E$126,1),9)+(INDEX('Step 4 Stage Discharge'!E$26:M$126,MATCH('Step 5 Routing'!F610,'Step 4 Stage Discharge'!E$26:E$126,1)+1,9)-INDEX('Step 4 Stage Discharge'!E$26:M$126,MATCH('Step 5 Routing'!F610,'Step 4 Stage Discharge'!E$26:E$126,1),9))*('Step 5 Routing'!F610-INDEX('Step 4 Stage Discharge'!E$26:M$126,MATCH('Step 5 Routing'!F610,'Step 4 Stage Discharge'!E$26:E$126,1),1))/(INDEX('Step 4 Stage Discharge'!E$26:M$126,MATCH('Step 5 Routing'!F610,'Step 4 Stage Discharge'!E$26:E$126,1)+1,1)-INDEX('Step 4 Stage Discharge'!E$26:M$126,MATCH('Step 5 Routing'!F610,'Step 4 Stage Discharge'!E$26:E$126,1),1))</f>
        <v>4.3639431710317386E-3</v>
      </c>
      <c r="J610" s="149"/>
      <c r="K610" s="6">
        <f t="shared" si="46"/>
        <v>0</v>
      </c>
      <c r="L610" s="6">
        <f t="shared" si="47"/>
        <v>0</v>
      </c>
    </row>
    <row r="611" spans="1:12">
      <c r="A611">
        <f t="shared" si="48"/>
        <v>598</v>
      </c>
      <c r="B611" s="136">
        <f>IF(C$5=Data!D$3,'Step 2 Inflow Hydrograph'!H655,IF(C$5=Data!D$4,'Step 2 Inflow Hydrograph'!I655,IF(C$5=Data!D$5,'Step 2 Inflow Hydrograph'!J655,'Step 2 Inflow Hydrograph'!K655)))</f>
        <v>0</v>
      </c>
      <c r="C611" s="127"/>
      <c r="D611" s="6">
        <f t="shared" si="45"/>
        <v>0</v>
      </c>
      <c r="E611" s="6"/>
      <c r="F611" s="6">
        <f t="shared" si="49"/>
        <v>0</v>
      </c>
      <c r="G611" s="149">
        <f>INDEX('Step 4 Stage Discharge'!E$26:F$126,MATCH(F611,'Step 4 Stage Discharge'!E$26:E$126,1),2)+(INDEX('Step 4 Stage Discharge'!E$26:F$126,MATCH(F611,'Step 4 Stage Discharge'!E$26:E$126,1)+1,2)-INDEX('Step 4 Stage Discharge'!E$26:F$126,MATCH(F611,'Step 4 Stage Discharge'!E$26:E$126,1),2))*(F611-INDEX('Step 4 Stage Discharge'!E$26:F$126,MATCH(F611,'Step 4 Stage Discharge'!E$26:E$126,1),1))/(INDEX('Step 4 Stage Discharge'!E$26:F$126,MATCH(F611,'Step 4 Stage Discharge'!E$26:E$126,1)+1,1)-INDEX('Step 4 Stage Discharge'!E$26:F$126,MATCH(F611,'Step 4 Stage Discharge'!E$26:E$126,1),1))</f>
        <v>0</v>
      </c>
      <c r="H611" s="149"/>
      <c r="I611" s="149">
        <f>INDEX('Step 4 Stage Discharge'!E$26:M$126,MATCH(F611,'Step 4 Stage Discharge'!E$26:E$126,1),9)+(INDEX('Step 4 Stage Discharge'!E$26:M$126,MATCH('Step 5 Routing'!F611,'Step 4 Stage Discharge'!E$26:E$126,1)+1,9)-INDEX('Step 4 Stage Discharge'!E$26:M$126,MATCH('Step 5 Routing'!F611,'Step 4 Stage Discharge'!E$26:E$126,1),9))*('Step 5 Routing'!F611-INDEX('Step 4 Stage Discharge'!E$26:M$126,MATCH('Step 5 Routing'!F611,'Step 4 Stage Discharge'!E$26:E$126,1),1))/(INDEX('Step 4 Stage Discharge'!E$26:M$126,MATCH('Step 5 Routing'!F611,'Step 4 Stage Discharge'!E$26:E$126,1)+1,1)-INDEX('Step 4 Stage Discharge'!E$26:M$126,MATCH('Step 5 Routing'!F611,'Step 4 Stage Discharge'!E$26:E$126,1),1))</f>
        <v>4.3639431710317386E-3</v>
      </c>
      <c r="J611" s="149"/>
      <c r="K611" s="6">
        <f t="shared" si="46"/>
        <v>0</v>
      </c>
      <c r="L611" s="6">
        <f t="shared" si="47"/>
        <v>0</v>
      </c>
    </row>
    <row r="612" spans="1:12">
      <c r="A612">
        <f t="shared" si="48"/>
        <v>599</v>
      </c>
      <c r="B612" s="136">
        <f>IF(C$5=Data!D$3,'Step 2 Inflow Hydrograph'!H656,IF(C$5=Data!D$4,'Step 2 Inflow Hydrograph'!I656,IF(C$5=Data!D$5,'Step 2 Inflow Hydrograph'!J656,'Step 2 Inflow Hydrograph'!K656)))</f>
        <v>0</v>
      </c>
      <c r="C612" s="127"/>
      <c r="D612" s="6">
        <f t="shared" si="45"/>
        <v>0</v>
      </c>
      <c r="E612" s="6"/>
      <c r="F612" s="6">
        <f t="shared" si="49"/>
        <v>0</v>
      </c>
      <c r="G612" s="149">
        <f>INDEX('Step 4 Stage Discharge'!E$26:F$126,MATCH(F612,'Step 4 Stage Discharge'!E$26:E$126,1),2)+(INDEX('Step 4 Stage Discharge'!E$26:F$126,MATCH(F612,'Step 4 Stage Discharge'!E$26:E$126,1)+1,2)-INDEX('Step 4 Stage Discharge'!E$26:F$126,MATCH(F612,'Step 4 Stage Discharge'!E$26:E$126,1),2))*(F612-INDEX('Step 4 Stage Discharge'!E$26:F$126,MATCH(F612,'Step 4 Stage Discharge'!E$26:E$126,1),1))/(INDEX('Step 4 Stage Discharge'!E$26:F$126,MATCH(F612,'Step 4 Stage Discharge'!E$26:E$126,1)+1,1)-INDEX('Step 4 Stage Discharge'!E$26:F$126,MATCH(F612,'Step 4 Stage Discharge'!E$26:E$126,1),1))</f>
        <v>0</v>
      </c>
      <c r="H612" s="149"/>
      <c r="I612" s="149">
        <f>INDEX('Step 4 Stage Discharge'!E$26:M$126,MATCH(F612,'Step 4 Stage Discharge'!E$26:E$126,1),9)+(INDEX('Step 4 Stage Discharge'!E$26:M$126,MATCH('Step 5 Routing'!F612,'Step 4 Stage Discharge'!E$26:E$126,1)+1,9)-INDEX('Step 4 Stage Discharge'!E$26:M$126,MATCH('Step 5 Routing'!F612,'Step 4 Stage Discharge'!E$26:E$126,1),9))*('Step 5 Routing'!F612-INDEX('Step 4 Stage Discharge'!E$26:M$126,MATCH('Step 5 Routing'!F612,'Step 4 Stage Discharge'!E$26:E$126,1),1))/(INDEX('Step 4 Stage Discharge'!E$26:M$126,MATCH('Step 5 Routing'!F612,'Step 4 Stage Discharge'!E$26:E$126,1)+1,1)-INDEX('Step 4 Stage Discharge'!E$26:M$126,MATCH('Step 5 Routing'!F612,'Step 4 Stage Discharge'!E$26:E$126,1),1))</f>
        <v>4.3639431710317386E-3</v>
      </c>
      <c r="J612" s="149"/>
      <c r="K612" s="6">
        <f t="shared" si="46"/>
        <v>0</v>
      </c>
      <c r="L612" s="6">
        <f t="shared" si="47"/>
        <v>0</v>
      </c>
    </row>
    <row r="613" spans="1:12">
      <c r="A613">
        <f t="shared" si="48"/>
        <v>600</v>
      </c>
      <c r="B613" s="136">
        <f>IF(C$5=Data!D$3,'Step 2 Inflow Hydrograph'!H657,IF(C$5=Data!D$4,'Step 2 Inflow Hydrograph'!I657,IF(C$5=Data!D$5,'Step 2 Inflow Hydrograph'!J657,'Step 2 Inflow Hydrograph'!K657)))</f>
        <v>0</v>
      </c>
      <c r="C613" s="127"/>
      <c r="D613" s="6">
        <f t="shared" si="45"/>
        <v>0</v>
      </c>
      <c r="E613" s="6"/>
      <c r="F613" s="6">
        <f t="shared" si="49"/>
        <v>0</v>
      </c>
      <c r="G613" s="149">
        <f>INDEX('Step 4 Stage Discharge'!E$26:F$126,MATCH(F613,'Step 4 Stage Discharge'!E$26:E$126,1),2)+(INDEX('Step 4 Stage Discharge'!E$26:F$126,MATCH(F613,'Step 4 Stage Discharge'!E$26:E$126,1)+1,2)-INDEX('Step 4 Stage Discharge'!E$26:F$126,MATCH(F613,'Step 4 Stage Discharge'!E$26:E$126,1),2))*(F613-INDEX('Step 4 Stage Discharge'!E$26:F$126,MATCH(F613,'Step 4 Stage Discharge'!E$26:E$126,1),1))/(INDEX('Step 4 Stage Discharge'!E$26:F$126,MATCH(F613,'Step 4 Stage Discharge'!E$26:E$126,1)+1,1)-INDEX('Step 4 Stage Discharge'!E$26:F$126,MATCH(F613,'Step 4 Stage Discharge'!E$26:E$126,1),1))</f>
        <v>0</v>
      </c>
      <c r="H613" s="149"/>
      <c r="I613" s="149">
        <f>INDEX('Step 4 Stage Discharge'!E$26:M$126,MATCH(F613,'Step 4 Stage Discharge'!E$26:E$126,1),9)+(INDEX('Step 4 Stage Discharge'!E$26:M$126,MATCH('Step 5 Routing'!F613,'Step 4 Stage Discharge'!E$26:E$126,1)+1,9)-INDEX('Step 4 Stage Discharge'!E$26:M$126,MATCH('Step 5 Routing'!F613,'Step 4 Stage Discharge'!E$26:E$126,1),9))*('Step 5 Routing'!F613-INDEX('Step 4 Stage Discharge'!E$26:M$126,MATCH('Step 5 Routing'!F613,'Step 4 Stage Discharge'!E$26:E$126,1),1))/(INDEX('Step 4 Stage Discharge'!E$26:M$126,MATCH('Step 5 Routing'!F613,'Step 4 Stage Discharge'!E$26:E$126,1)+1,1)-INDEX('Step 4 Stage Discharge'!E$26:M$126,MATCH('Step 5 Routing'!F613,'Step 4 Stage Discharge'!E$26:E$126,1),1))</f>
        <v>4.3639431710317386E-3</v>
      </c>
      <c r="J613" s="149"/>
      <c r="K613" s="6">
        <f t="shared" si="46"/>
        <v>0</v>
      </c>
      <c r="L613" s="6">
        <f t="shared" si="47"/>
        <v>0</v>
      </c>
    </row>
    <row r="614" spans="1:12">
      <c r="A614">
        <f t="shared" si="48"/>
        <v>601</v>
      </c>
      <c r="B614" s="136">
        <f>IF(C$5=Data!D$3,'Step 2 Inflow Hydrograph'!H658,IF(C$5=Data!D$4,'Step 2 Inflow Hydrograph'!I658,IF(C$5=Data!D$5,'Step 2 Inflow Hydrograph'!J658,'Step 2 Inflow Hydrograph'!K658)))</f>
        <v>0</v>
      </c>
      <c r="C614" s="127"/>
      <c r="D614" s="6">
        <f t="shared" si="45"/>
        <v>0</v>
      </c>
      <c r="E614" s="6"/>
      <c r="F614" s="6">
        <f t="shared" si="49"/>
        <v>0</v>
      </c>
      <c r="G614" s="149">
        <f>INDEX('Step 4 Stage Discharge'!E$26:F$126,MATCH(F614,'Step 4 Stage Discharge'!E$26:E$126,1),2)+(INDEX('Step 4 Stage Discharge'!E$26:F$126,MATCH(F614,'Step 4 Stage Discharge'!E$26:E$126,1)+1,2)-INDEX('Step 4 Stage Discharge'!E$26:F$126,MATCH(F614,'Step 4 Stage Discharge'!E$26:E$126,1),2))*(F614-INDEX('Step 4 Stage Discharge'!E$26:F$126,MATCH(F614,'Step 4 Stage Discharge'!E$26:E$126,1),1))/(INDEX('Step 4 Stage Discharge'!E$26:F$126,MATCH(F614,'Step 4 Stage Discharge'!E$26:E$126,1)+1,1)-INDEX('Step 4 Stage Discharge'!E$26:F$126,MATCH(F614,'Step 4 Stage Discharge'!E$26:E$126,1),1))</f>
        <v>0</v>
      </c>
      <c r="H614" s="149"/>
      <c r="I614" s="149">
        <f>INDEX('Step 4 Stage Discharge'!E$26:M$126,MATCH(F614,'Step 4 Stage Discharge'!E$26:E$126,1),9)+(INDEX('Step 4 Stage Discharge'!E$26:M$126,MATCH('Step 5 Routing'!F614,'Step 4 Stage Discharge'!E$26:E$126,1)+1,9)-INDEX('Step 4 Stage Discharge'!E$26:M$126,MATCH('Step 5 Routing'!F614,'Step 4 Stage Discharge'!E$26:E$126,1),9))*('Step 5 Routing'!F614-INDEX('Step 4 Stage Discharge'!E$26:M$126,MATCH('Step 5 Routing'!F614,'Step 4 Stage Discharge'!E$26:E$126,1),1))/(INDEX('Step 4 Stage Discharge'!E$26:M$126,MATCH('Step 5 Routing'!F614,'Step 4 Stage Discharge'!E$26:E$126,1)+1,1)-INDEX('Step 4 Stage Discharge'!E$26:M$126,MATCH('Step 5 Routing'!F614,'Step 4 Stage Discharge'!E$26:E$126,1),1))</f>
        <v>4.3639431710317386E-3</v>
      </c>
      <c r="J614" s="149"/>
      <c r="K614" s="6">
        <f t="shared" si="46"/>
        <v>0</v>
      </c>
      <c r="L614" s="6">
        <f t="shared" si="47"/>
        <v>0</v>
      </c>
    </row>
    <row r="615" spans="1:12">
      <c r="A615">
        <f t="shared" si="48"/>
        <v>602</v>
      </c>
      <c r="B615" s="136">
        <f>IF(C$5=Data!D$3,'Step 2 Inflow Hydrograph'!H659,IF(C$5=Data!D$4,'Step 2 Inflow Hydrograph'!I659,IF(C$5=Data!D$5,'Step 2 Inflow Hydrograph'!J659,'Step 2 Inflow Hydrograph'!K659)))</f>
        <v>0</v>
      </c>
      <c r="C615" s="127"/>
      <c r="D615" s="6">
        <f t="shared" si="45"/>
        <v>0</v>
      </c>
      <c r="E615" s="6"/>
      <c r="F615" s="6">
        <f t="shared" si="49"/>
        <v>0</v>
      </c>
      <c r="G615" s="149">
        <f>INDEX('Step 4 Stage Discharge'!E$26:F$126,MATCH(F615,'Step 4 Stage Discharge'!E$26:E$126,1),2)+(INDEX('Step 4 Stage Discharge'!E$26:F$126,MATCH(F615,'Step 4 Stage Discharge'!E$26:E$126,1)+1,2)-INDEX('Step 4 Stage Discharge'!E$26:F$126,MATCH(F615,'Step 4 Stage Discharge'!E$26:E$126,1),2))*(F615-INDEX('Step 4 Stage Discharge'!E$26:F$126,MATCH(F615,'Step 4 Stage Discharge'!E$26:E$126,1),1))/(INDEX('Step 4 Stage Discharge'!E$26:F$126,MATCH(F615,'Step 4 Stage Discharge'!E$26:E$126,1)+1,1)-INDEX('Step 4 Stage Discharge'!E$26:F$126,MATCH(F615,'Step 4 Stage Discharge'!E$26:E$126,1),1))</f>
        <v>0</v>
      </c>
      <c r="H615" s="149"/>
      <c r="I615" s="149">
        <f>INDEX('Step 4 Stage Discharge'!E$26:M$126,MATCH(F615,'Step 4 Stage Discharge'!E$26:E$126,1),9)+(INDEX('Step 4 Stage Discharge'!E$26:M$126,MATCH('Step 5 Routing'!F615,'Step 4 Stage Discharge'!E$26:E$126,1)+1,9)-INDEX('Step 4 Stage Discharge'!E$26:M$126,MATCH('Step 5 Routing'!F615,'Step 4 Stage Discharge'!E$26:E$126,1),9))*('Step 5 Routing'!F615-INDEX('Step 4 Stage Discharge'!E$26:M$126,MATCH('Step 5 Routing'!F615,'Step 4 Stage Discharge'!E$26:E$126,1),1))/(INDEX('Step 4 Stage Discharge'!E$26:M$126,MATCH('Step 5 Routing'!F615,'Step 4 Stage Discharge'!E$26:E$126,1)+1,1)-INDEX('Step 4 Stage Discharge'!E$26:M$126,MATCH('Step 5 Routing'!F615,'Step 4 Stage Discharge'!E$26:E$126,1),1))</f>
        <v>4.3639431710317386E-3</v>
      </c>
      <c r="J615" s="149"/>
      <c r="K615" s="6">
        <f t="shared" si="46"/>
        <v>0</v>
      </c>
      <c r="L615" s="6">
        <f t="shared" si="47"/>
        <v>0</v>
      </c>
    </row>
    <row r="616" spans="1:12">
      <c r="A616">
        <f t="shared" si="48"/>
        <v>603</v>
      </c>
      <c r="B616" s="136">
        <f>IF(C$5=Data!D$3,'Step 2 Inflow Hydrograph'!H660,IF(C$5=Data!D$4,'Step 2 Inflow Hydrograph'!I660,IF(C$5=Data!D$5,'Step 2 Inflow Hydrograph'!J660,'Step 2 Inflow Hydrograph'!K660)))</f>
        <v>0</v>
      </c>
      <c r="C616" s="127"/>
      <c r="D616" s="6">
        <f t="shared" si="45"/>
        <v>0</v>
      </c>
      <c r="E616" s="6"/>
      <c r="F616" s="6">
        <f t="shared" si="49"/>
        <v>0</v>
      </c>
      <c r="G616" s="149">
        <f>INDEX('Step 4 Stage Discharge'!E$26:F$126,MATCH(F616,'Step 4 Stage Discharge'!E$26:E$126,1),2)+(INDEX('Step 4 Stage Discharge'!E$26:F$126,MATCH(F616,'Step 4 Stage Discharge'!E$26:E$126,1)+1,2)-INDEX('Step 4 Stage Discharge'!E$26:F$126,MATCH(F616,'Step 4 Stage Discharge'!E$26:E$126,1),2))*(F616-INDEX('Step 4 Stage Discharge'!E$26:F$126,MATCH(F616,'Step 4 Stage Discharge'!E$26:E$126,1),1))/(INDEX('Step 4 Stage Discharge'!E$26:F$126,MATCH(F616,'Step 4 Stage Discharge'!E$26:E$126,1)+1,1)-INDEX('Step 4 Stage Discharge'!E$26:F$126,MATCH(F616,'Step 4 Stage Discharge'!E$26:E$126,1),1))</f>
        <v>0</v>
      </c>
      <c r="H616" s="149"/>
      <c r="I616" s="149">
        <f>INDEX('Step 4 Stage Discharge'!E$26:M$126,MATCH(F616,'Step 4 Stage Discharge'!E$26:E$126,1),9)+(INDEX('Step 4 Stage Discharge'!E$26:M$126,MATCH('Step 5 Routing'!F616,'Step 4 Stage Discharge'!E$26:E$126,1)+1,9)-INDEX('Step 4 Stage Discharge'!E$26:M$126,MATCH('Step 5 Routing'!F616,'Step 4 Stage Discharge'!E$26:E$126,1),9))*('Step 5 Routing'!F616-INDEX('Step 4 Stage Discharge'!E$26:M$126,MATCH('Step 5 Routing'!F616,'Step 4 Stage Discharge'!E$26:E$126,1),1))/(INDEX('Step 4 Stage Discharge'!E$26:M$126,MATCH('Step 5 Routing'!F616,'Step 4 Stage Discharge'!E$26:E$126,1)+1,1)-INDEX('Step 4 Stage Discharge'!E$26:M$126,MATCH('Step 5 Routing'!F616,'Step 4 Stage Discharge'!E$26:E$126,1),1))</f>
        <v>4.3639431710317386E-3</v>
      </c>
      <c r="J616" s="149"/>
      <c r="K616" s="6">
        <f t="shared" si="46"/>
        <v>0</v>
      </c>
      <c r="L616" s="6">
        <f t="shared" si="47"/>
        <v>0</v>
      </c>
    </row>
    <row r="617" spans="1:12">
      <c r="A617">
        <f t="shared" si="48"/>
        <v>604</v>
      </c>
      <c r="B617" s="136">
        <f>IF(C$5=Data!D$3,'Step 2 Inflow Hydrograph'!H661,IF(C$5=Data!D$4,'Step 2 Inflow Hydrograph'!I661,IF(C$5=Data!D$5,'Step 2 Inflow Hydrograph'!J661,'Step 2 Inflow Hydrograph'!K661)))</f>
        <v>0</v>
      </c>
      <c r="C617" s="127"/>
      <c r="D617" s="6">
        <f t="shared" si="45"/>
        <v>0</v>
      </c>
      <c r="E617" s="6"/>
      <c r="F617" s="6">
        <f t="shared" si="49"/>
        <v>0</v>
      </c>
      <c r="G617" s="149">
        <f>INDEX('Step 4 Stage Discharge'!E$26:F$126,MATCH(F617,'Step 4 Stage Discharge'!E$26:E$126,1),2)+(INDEX('Step 4 Stage Discharge'!E$26:F$126,MATCH(F617,'Step 4 Stage Discharge'!E$26:E$126,1)+1,2)-INDEX('Step 4 Stage Discharge'!E$26:F$126,MATCH(F617,'Step 4 Stage Discharge'!E$26:E$126,1),2))*(F617-INDEX('Step 4 Stage Discharge'!E$26:F$126,MATCH(F617,'Step 4 Stage Discharge'!E$26:E$126,1),1))/(INDEX('Step 4 Stage Discharge'!E$26:F$126,MATCH(F617,'Step 4 Stage Discharge'!E$26:E$126,1)+1,1)-INDEX('Step 4 Stage Discharge'!E$26:F$126,MATCH(F617,'Step 4 Stage Discharge'!E$26:E$126,1),1))</f>
        <v>0</v>
      </c>
      <c r="H617" s="149"/>
      <c r="I617" s="149">
        <f>INDEX('Step 4 Stage Discharge'!E$26:M$126,MATCH(F617,'Step 4 Stage Discharge'!E$26:E$126,1),9)+(INDEX('Step 4 Stage Discharge'!E$26:M$126,MATCH('Step 5 Routing'!F617,'Step 4 Stage Discharge'!E$26:E$126,1)+1,9)-INDEX('Step 4 Stage Discharge'!E$26:M$126,MATCH('Step 5 Routing'!F617,'Step 4 Stage Discharge'!E$26:E$126,1),9))*('Step 5 Routing'!F617-INDEX('Step 4 Stage Discharge'!E$26:M$126,MATCH('Step 5 Routing'!F617,'Step 4 Stage Discharge'!E$26:E$126,1),1))/(INDEX('Step 4 Stage Discharge'!E$26:M$126,MATCH('Step 5 Routing'!F617,'Step 4 Stage Discharge'!E$26:E$126,1)+1,1)-INDEX('Step 4 Stage Discharge'!E$26:M$126,MATCH('Step 5 Routing'!F617,'Step 4 Stage Discharge'!E$26:E$126,1),1))</f>
        <v>4.3639431710317386E-3</v>
      </c>
      <c r="J617" s="149"/>
      <c r="K617" s="6">
        <f t="shared" si="46"/>
        <v>0</v>
      </c>
      <c r="L617" s="6">
        <f t="shared" si="47"/>
        <v>0</v>
      </c>
    </row>
    <row r="618" spans="1:12">
      <c r="A618">
        <f t="shared" si="48"/>
        <v>605</v>
      </c>
      <c r="B618" s="136">
        <f>IF(C$5=Data!D$3,'Step 2 Inflow Hydrograph'!H662,IF(C$5=Data!D$4,'Step 2 Inflow Hydrograph'!I662,IF(C$5=Data!D$5,'Step 2 Inflow Hydrograph'!J662,'Step 2 Inflow Hydrograph'!K662)))</f>
        <v>0</v>
      </c>
      <c r="C618" s="127"/>
      <c r="D618" s="6">
        <f t="shared" si="45"/>
        <v>0</v>
      </c>
      <c r="E618" s="6"/>
      <c r="F618" s="6">
        <f t="shared" si="49"/>
        <v>0</v>
      </c>
      <c r="G618" s="149">
        <f>INDEX('Step 4 Stage Discharge'!E$26:F$126,MATCH(F618,'Step 4 Stage Discharge'!E$26:E$126,1),2)+(INDEX('Step 4 Stage Discharge'!E$26:F$126,MATCH(F618,'Step 4 Stage Discharge'!E$26:E$126,1)+1,2)-INDEX('Step 4 Stage Discharge'!E$26:F$126,MATCH(F618,'Step 4 Stage Discharge'!E$26:E$126,1),2))*(F618-INDEX('Step 4 Stage Discharge'!E$26:F$126,MATCH(F618,'Step 4 Stage Discharge'!E$26:E$126,1),1))/(INDEX('Step 4 Stage Discharge'!E$26:F$126,MATCH(F618,'Step 4 Stage Discharge'!E$26:E$126,1)+1,1)-INDEX('Step 4 Stage Discharge'!E$26:F$126,MATCH(F618,'Step 4 Stage Discharge'!E$26:E$126,1),1))</f>
        <v>0</v>
      </c>
      <c r="H618" s="149"/>
      <c r="I618" s="149">
        <f>INDEX('Step 4 Stage Discharge'!E$26:M$126,MATCH(F618,'Step 4 Stage Discharge'!E$26:E$126,1),9)+(INDEX('Step 4 Stage Discharge'!E$26:M$126,MATCH('Step 5 Routing'!F618,'Step 4 Stage Discharge'!E$26:E$126,1)+1,9)-INDEX('Step 4 Stage Discharge'!E$26:M$126,MATCH('Step 5 Routing'!F618,'Step 4 Stage Discharge'!E$26:E$126,1),9))*('Step 5 Routing'!F618-INDEX('Step 4 Stage Discharge'!E$26:M$126,MATCH('Step 5 Routing'!F618,'Step 4 Stage Discharge'!E$26:E$126,1),1))/(INDEX('Step 4 Stage Discharge'!E$26:M$126,MATCH('Step 5 Routing'!F618,'Step 4 Stage Discharge'!E$26:E$126,1)+1,1)-INDEX('Step 4 Stage Discharge'!E$26:M$126,MATCH('Step 5 Routing'!F618,'Step 4 Stage Discharge'!E$26:E$126,1),1))</f>
        <v>4.3639431710317386E-3</v>
      </c>
      <c r="J618" s="149"/>
      <c r="K618" s="6">
        <f t="shared" si="46"/>
        <v>0</v>
      </c>
      <c r="L618" s="6">
        <f t="shared" si="47"/>
        <v>0</v>
      </c>
    </row>
    <row r="619" spans="1:12">
      <c r="A619">
        <f t="shared" si="48"/>
        <v>606</v>
      </c>
      <c r="B619" s="136">
        <f>IF(C$5=Data!D$3,'Step 2 Inflow Hydrograph'!H663,IF(C$5=Data!D$4,'Step 2 Inflow Hydrograph'!I663,IF(C$5=Data!D$5,'Step 2 Inflow Hydrograph'!J663,'Step 2 Inflow Hydrograph'!K663)))</f>
        <v>0</v>
      </c>
      <c r="C619" s="127"/>
      <c r="D619" s="6">
        <f t="shared" si="45"/>
        <v>0</v>
      </c>
      <c r="E619" s="6"/>
      <c r="F619" s="6">
        <f t="shared" si="49"/>
        <v>0</v>
      </c>
      <c r="G619" s="149">
        <f>INDEX('Step 4 Stage Discharge'!E$26:F$126,MATCH(F619,'Step 4 Stage Discharge'!E$26:E$126,1),2)+(INDEX('Step 4 Stage Discharge'!E$26:F$126,MATCH(F619,'Step 4 Stage Discharge'!E$26:E$126,1)+1,2)-INDEX('Step 4 Stage Discharge'!E$26:F$126,MATCH(F619,'Step 4 Stage Discharge'!E$26:E$126,1),2))*(F619-INDEX('Step 4 Stage Discharge'!E$26:F$126,MATCH(F619,'Step 4 Stage Discharge'!E$26:E$126,1),1))/(INDEX('Step 4 Stage Discharge'!E$26:F$126,MATCH(F619,'Step 4 Stage Discharge'!E$26:E$126,1)+1,1)-INDEX('Step 4 Stage Discharge'!E$26:F$126,MATCH(F619,'Step 4 Stage Discharge'!E$26:E$126,1),1))</f>
        <v>0</v>
      </c>
      <c r="H619" s="149"/>
      <c r="I619" s="149">
        <f>INDEX('Step 4 Stage Discharge'!E$26:M$126,MATCH(F619,'Step 4 Stage Discharge'!E$26:E$126,1),9)+(INDEX('Step 4 Stage Discharge'!E$26:M$126,MATCH('Step 5 Routing'!F619,'Step 4 Stage Discharge'!E$26:E$126,1)+1,9)-INDEX('Step 4 Stage Discharge'!E$26:M$126,MATCH('Step 5 Routing'!F619,'Step 4 Stage Discharge'!E$26:E$126,1),9))*('Step 5 Routing'!F619-INDEX('Step 4 Stage Discharge'!E$26:M$126,MATCH('Step 5 Routing'!F619,'Step 4 Stage Discharge'!E$26:E$126,1),1))/(INDEX('Step 4 Stage Discharge'!E$26:M$126,MATCH('Step 5 Routing'!F619,'Step 4 Stage Discharge'!E$26:E$126,1)+1,1)-INDEX('Step 4 Stage Discharge'!E$26:M$126,MATCH('Step 5 Routing'!F619,'Step 4 Stage Discharge'!E$26:E$126,1),1))</f>
        <v>4.3639431710317386E-3</v>
      </c>
      <c r="J619" s="149"/>
      <c r="K619" s="6">
        <f t="shared" si="46"/>
        <v>0</v>
      </c>
      <c r="L619" s="6">
        <f t="shared" si="47"/>
        <v>0</v>
      </c>
    </row>
    <row r="620" spans="1:12">
      <c r="A620">
        <f t="shared" si="48"/>
        <v>607</v>
      </c>
      <c r="B620" s="136">
        <f>IF(C$5=Data!D$3,'Step 2 Inflow Hydrograph'!H664,IF(C$5=Data!D$4,'Step 2 Inflow Hydrograph'!I664,IF(C$5=Data!D$5,'Step 2 Inflow Hydrograph'!J664,'Step 2 Inflow Hydrograph'!K664)))</f>
        <v>0</v>
      </c>
      <c r="C620" s="127"/>
      <c r="D620" s="6">
        <f t="shared" si="45"/>
        <v>0</v>
      </c>
      <c r="E620" s="6"/>
      <c r="F620" s="6">
        <f t="shared" si="49"/>
        <v>0</v>
      </c>
      <c r="G620" s="149">
        <f>INDEX('Step 4 Stage Discharge'!E$26:F$126,MATCH(F620,'Step 4 Stage Discharge'!E$26:E$126,1),2)+(INDEX('Step 4 Stage Discharge'!E$26:F$126,MATCH(F620,'Step 4 Stage Discharge'!E$26:E$126,1)+1,2)-INDEX('Step 4 Stage Discharge'!E$26:F$126,MATCH(F620,'Step 4 Stage Discharge'!E$26:E$126,1),2))*(F620-INDEX('Step 4 Stage Discharge'!E$26:F$126,MATCH(F620,'Step 4 Stage Discharge'!E$26:E$126,1),1))/(INDEX('Step 4 Stage Discharge'!E$26:F$126,MATCH(F620,'Step 4 Stage Discharge'!E$26:E$126,1)+1,1)-INDEX('Step 4 Stage Discharge'!E$26:F$126,MATCH(F620,'Step 4 Stage Discharge'!E$26:E$126,1),1))</f>
        <v>0</v>
      </c>
      <c r="H620" s="149"/>
      <c r="I620" s="149">
        <f>INDEX('Step 4 Stage Discharge'!E$26:M$126,MATCH(F620,'Step 4 Stage Discharge'!E$26:E$126,1),9)+(INDEX('Step 4 Stage Discharge'!E$26:M$126,MATCH('Step 5 Routing'!F620,'Step 4 Stage Discharge'!E$26:E$126,1)+1,9)-INDEX('Step 4 Stage Discharge'!E$26:M$126,MATCH('Step 5 Routing'!F620,'Step 4 Stage Discharge'!E$26:E$126,1),9))*('Step 5 Routing'!F620-INDEX('Step 4 Stage Discharge'!E$26:M$126,MATCH('Step 5 Routing'!F620,'Step 4 Stage Discharge'!E$26:E$126,1),1))/(INDEX('Step 4 Stage Discharge'!E$26:M$126,MATCH('Step 5 Routing'!F620,'Step 4 Stage Discharge'!E$26:E$126,1)+1,1)-INDEX('Step 4 Stage Discharge'!E$26:M$126,MATCH('Step 5 Routing'!F620,'Step 4 Stage Discharge'!E$26:E$126,1),1))</f>
        <v>4.3639431710317386E-3</v>
      </c>
      <c r="J620" s="149"/>
      <c r="K620" s="6">
        <f t="shared" si="46"/>
        <v>0</v>
      </c>
      <c r="L620" s="6">
        <f t="shared" si="47"/>
        <v>0</v>
      </c>
    </row>
    <row r="621" spans="1:12">
      <c r="A621">
        <f t="shared" si="48"/>
        <v>608</v>
      </c>
      <c r="B621" s="136">
        <f>IF(C$5=Data!D$3,'Step 2 Inflow Hydrograph'!H665,IF(C$5=Data!D$4,'Step 2 Inflow Hydrograph'!I665,IF(C$5=Data!D$5,'Step 2 Inflow Hydrograph'!J665,'Step 2 Inflow Hydrograph'!K665)))</f>
        <v>0</v>
      </c>
      <c r="C621" s="127"/>
      <c r="D621" s="6">
        <f t="shared" si="45"/>
        <v>0</v>
      </c>
      <c r="E621" s="6"/>
      <c r="F621" s="6">
        <f t="shared" si="49"/>
        <v>0</v>
      </c>
      <c r="G621" s="149">
        <f>INDEX('Step 4 Stage Discharge'!E$26:F$126,MATCH(F621,'Step 4 Stage Discharge'!E$26:E$126,1),2)+(INDEX('Step 4 Stage Discharge'!E$26:F$126,MATCH(F621,'Step 4 Stage Discharge'!E$26:E$126,1)+1,2)-INDEX('Step 4 Stage Discharge'!E$26:F$126,MATCH(F621,'Step 4 Stage Discharge'!E$26:E$126,1),2))*(F621-INDEX('Step 4 Stage Discharge'!E$26:F$126,MATCH(F621,'Step 4 Stage Discharge'!E$26:E$126,1),1))/(INDEX('Step 4 Stage Discharge'!E$26:F$126,MATCH(F621,'Step 4 Stage Discharge'!E$26:E$126,1)+1,1)-INDEX('Step 4 Stage Discharge'!E$26:F$126,MATCH(F621,'Step 4 Stage Discharge'!E$26:E$126,1),1))</f>
        <v>0</v>
      </c>
      <c r="H621" s="149"/>
      <c r="I621" s="149">
        <f>INDEX('Step 4 Stage Discharge'!E$26:M$126,MATCH(F621,'Step 4 Stage Discharge'!E$26:E$126,1),9)+(INDEX('Step 4 Stage Discharge'!E$26:M$126,MATCH('Step 5 Routing'!F621,'Step 4 Stage Discharge'!E$26:E$126,1)+1,9)-INDEX('Step 4 Stage Discharge'!E$26:M$126,MATCH('Step 5 Routing'!F621,'Step 4 Stage Discharge'!E$26:E$126,1),9))*('Step 5 Routing'!F621-INDEX('Step 4 Stage Discharge'!E$26:M$126,MATCH('Step 5 Routing'!F621,'Step 4 Stage Discharge'!E$26:E$126,1),1))/(INDEX('Step 4 Stage Discharge'!E$26:M$126,MATCH('Step 5 Routing'!F621,'Step 4 Stage Discharge'!E$26:E$126,1)+1,1)-INDEX('Step 4 Stage Discharge'!E$26:M$126,MATCH('Step 5 Routing'!F621,'Step 4 Stage Discharge'!E$26:E$126,1),1))</f>
        <v>4.3639431710317386E-3</v>
      </c>
      <c r="J621" s="149"/>
      <c r="K621" s="6">
        <f t="shared" si="46"/>
        <v>0</v>
      </c>
      <c r="L621" s="6">
        <f t="shared" si="47"/>
        <v>0</v>
      </c>
    </row>
    <row r="622" spans="1:12">
      <c r="A622">
        <f t="shared" si="48"/>
        <v>609</v>
      </c>
      <c r="B622" s="136">
        <f>IF(C$5=Data!D$3,'Step 2 Inflow Hydrograph'!H666,IF(C$5=Data!D$4,'Step 2 Inflow Hydrograph'!I666,IF(C$5=Data!D$5,'Step 2 Inflow Hydrograph'!J666,'Step 2 Inflow Hydrograph'!K666)))</f>
        <v>0</v>
      </c>
      <c r="C622" s="127"/>
      <c r="D622" s="6">
        <f t="shared" si="45"/>
        <v>0</v>
      </c>
      <c r="E622" s="6"/>
      <c r="F622" s="6">
        <f t="shared" si="49"/>
        <v>0</v>
      </c>
      <c r="G622" s="149">
        <f>INDEX('Step 4 Stage Discharge'!E$26:F$126,MATCH(F622,'Step 4 Stage Discharge'!E$26:E$126,1),2)+(INDEX('Step 4 Stage Discharge'!E$26:F$126,MATCH(F622,'Step 4 Stage Discharge'!E$26:E$126,1)+1,2)-INDEX('Step 4 Stage Discharge'!E$26:F$126,MATCH(F622,'Step 4 Stage Discharge'!E$26:E$126,1),2))*(F622-INDEX('Step 4 Stage Discharge'!E$26:F$126,MATCH(F622,'Step 4 Stage Discharge'!E$26:E$126,1),1))/(INDEX('Step 4 Stage Discharge'!E$26:F$126,MATCH(F622,'Step 4 Stage Discharge'!E$26:E$126,1)+1,1)-INDEX('Step 4 Stage Discharge'!E$26:F$126,MATCH(F622,'Step 4 Stage Discharge'!E$26:E$126,1),1))</f>
        <v>0</v>
      </c>
      <c r="H622" s="149"/>
      <c r="I622" s="149">
        <f>INDEX('Step 4 Stage Discharge'!E$26:M$126,MATCH(F622,'Step 4 Stage Discharge'!E$26:E$126,1),9)+(INDEX('Step 4 Stage Discharge'!E$26:M$126,MATCH('Step 5 Routing'!F622,'Step 4 Stage Discharge'!E$26:E$126,1)+1,9)-INDEX('Step 4 Stage Discharge'!E$26:M$126,MATCH('Step 5 Routing'!F622,'Step 4 Stage Discharge'!E$26:E$126,1),9))*('Step 5 Routing'!F622-INDEX('Step 4 Stage Discharge'!E$26:M$126,MATCH('Step 5 Routing'!F622,'Step 4 Stage Discharge'!E$26:E$126,1),1))/(INDEX('Step 4 Stage Discharge'!E$26:M$126,MATCH('Step 5 Routing'!F622,'Step 4 Stage Discharge'!E$26:E$126,1)+1,1)-INDEX('Step 4 Stage Discharge'!E$26:M$126,MATCH('Step 5 Routing'!F622,'Step 4 Stage Discharge'!E$26:E$126,1),1))</f>
        <v>4.3639431710317386E-3</v>
      </c>
      <c r="J622" s="149"/>
      <c r="K622" s="6">
        <f t="shared" si="46"/>
        <v>0</v>
      </c>
      <c r="L622" s="6">
        <f t="shared" si="47"/>
        <v>0</v>
      </c>
    </row>
    <row r="623" spans="1:12">
      <c r="A623">
        <f t="shared" si="48"/>
        <v>610</v>
      </c>
      <c r="B623" s="136">
        <f>IF(C$5=Data!D$3,'Step 2 Inflow Hydrograph'!H667,IF(C$5=Data!D$4,'Step 2 Inflow Hydrograph'!I667,IF(C$5=Data!D$5,'Step 2 Inflow Hydrograph'!J667,'Step 2 Inflow Hydrograph'!K667)))</f>
        <v>0</v>
      </c>
      <c r="C623" s="127"/>
      <c r="D623" s="6">
        <f t="shared" si="45"/>
        <v>0</v>
      </c>
      <c r="E623" s="6"/>
      <c r="F623" s="6">
        <f t="shared" si="49"/>
        <v>0</v>
      </c>
      <c r="G623" s="149">
        <f>INDEX('Step 4 Stage Discharge'!E$26:F$126,MATCH(F623,'Step 4 Stage Discharge'!E$26:E$126,1),2)+(INDEX('Step 4 Stage Discharge'!E$26:F$126,MATCH(F623,'Step 4 Stage Discharge'!E$26:E$126,1)+1,2)-INDEX('Step 4 Stage Discharge'!E$26:F$126,MATCH(F623,'Step 4 Stage Discharge'!E$26:E$126,1),2))*(F623-INDEX('Step 4 Stage Discharge'!E$26:F$126,MATCH(F623,'Step 4 Stage Discharge'!E$26:E$126,1),1))/(INDEX('Step 4 Stage Discharge'!E$26:F$126,MATCH(F623,'Step 4 Stage Discharge'!E$26:E$126,1)+1,1)-INDEX('Step 4 Stage Discharge'!E$26:F$126,MATCH(F623,'Step 4 Stage Discharge'!E$26:E$126,1),1))</f>
        <v>0</v>
      </c>
      <c r="H623" s="149"/>
      <c r="I623" s="149">
        <f>INDEX('Step 4 Stage Discharge'!E$26:M$126,MATCH(F623,'Step 4 Stage Discharge'!E$26:E$126,1),9)+(INDEX('Step 4 Stage Discharge'!E$26:M$126,MATCH('Step 5 Routing'!F623,'Step 4 Stage Discharge'!E$26:E$126,1)+1,9)-INDEX('Step 4 Stage Discharge'!E$26:M$126,MATCH('Step 5 Routing'!F623,'Step 4 Stage Discharge'!E$26:E$126,1),9))*('Step 5 Routing'!F623-INDEX('Step 4 Stage Discharge'!E$26:M$126,MATCH('Step 5 Routing'!F623,'Step 4 Stage Discharge'!E$26:E$126,1),1))/(INDEX('Step 4 Stage Discharge'!E$26:M$126,MATCH('Step 5 Routing'!F623,'Step 4 Stage Discharge'!E$26:E$126,1)+1,1)-INDEX('Step 4 Stage Discharge'!E$26:M$126,MATCH('Step 5 Routing'!F623,'Step 4 Stage Discharge'!E$26:E$126,1),1))</f>
        <v>4.3639431710317386E-3</v>
      </c>
      <c r="J623" s="149"/>
      <c r="K623" s="6">
        <f t="shared" si="46"/>
        <v>0</v>
      </c>
      <c r="L623" s="6">
        <f t="shared" si="47"/>
        <v>0</v>
      </c>
    </row>
    <row r="624" spans="1:12">
      <c r="A624">
        <f t="shared" si="48"/>
        <v>611</v>
      </c>
      <c r="B624" s="136">
        <f>IF(C$5=Data!D$3,'Step 2 Inflow Hydrograph'!H668,IF(C$5=Data!D$4,'Step 2 Inflow Hydrograph'!I668,IF(C$5=Data!D$5,'Step 2 Inflow Hydrograph'!J668,'Step 2 Inflow Hydrograph'!K668)))</f>
        <v>0</v>
      </c>
      <c r="C624" s="127"/>
      <c r="D624" s="6">
        <f t="shared" si="45"/>
        <v>0</v>
      </c>
      <c r="E624" s="6"/>
      <c r="F624" s="6">
        <f t="shared" si="49"/>
        <v>0</v>
      </c>
      <c r="G624" s="149">
        <f>INDEX('Step 4 Stage Discharge'!E$26:F$126,MATCH(F624,'Step 4 Stage Discharge'!E$26:E$126,1),2)+(INDEX('Step 4 Stage Discharge'!E$26:F$126,MATCH(F624,'Step 4 Stage Discharge'!E$26:E$126,1)+1,2)-INDEX('Step 4 Stage Discharge'!E$26:F$126,MATCH(F624,'Step 4 Stage Discharge'!E$26:E$126,1),2))*(F624-INDEX('Step 4 Stage Discharge'!E$26:F$126,MATCH(F624,'Step 4 Stage Discharge'!E$26:E$126,1),1))/(INDEX('Step 4 Stage Discharge'!E$26:F$126,MATCH(F624,'Step 4 Stage Discharge'!E$26:E$126,1)+1,1)-INDEX('Step 4 Stage Discharge'!E$26:F$126,MATCH(F624,'Step 4 Stage Discharge'!E$26:E$126,1),1))</f>
        <v>0</v>
      </c>
      <c r="H624" s="149"/>
      <c r="I624" s="149">
        <f>INDEX('Step 4 Stage Discharge'!E$26:M$126,MATCH(F624,'Step 4 Stage Discharge'!E$26:E$126,1),9)+(INDEX('Step 4 Stage Discharge'!E$26:M$126,MATCH('Step 5 Routing'!F624,'Step 4 Stage Discharge'!E$26:E$126,1)+1,9)-INDEX('Step 4 Stage Discharge'!E$26:M$126,MATCH('Step 5 Routing'!F624,'Step 4 Stage Discharge'!E$26:E$126,1),9))*('Step 5 Routing'!F624-INDEX('Step 4 Stage Discharge'!E$26:M$126,MATCH('Step 5 Routing'!F624,'Step 4 Stage Discharge'!E$26:E$126,1),1))/(INDEX('Step 4 Stage Discharge'!E$26:M$126,MATCH('Step 5 Routing'!F624,'Step 4 Stage Discharge'!E$26:E$126,1)+1,1)-INDEX('Step 4 Stage Discharge'!E$26:M$126,MATCH('Step 5 Routing'!F624,'Step 4 Stage Discharge'!E$26:E$126,1),1))</f>
        <v>4.3639431710317386E-3</v>
      </c>
      <c r="J624" s="149"/>
      <c r="K624" s="6">
        <f t="shared" si="46"/>
        <v>0</v>
      </c>
      <c r="L624" s="6">
        <f t="shared" si="47"/>
        <v>0</v>
      </c>
    </row>
    <row r="625" spans="1:12">
      <c r="A625">
        <f t="shared" si="48"/>
        <v>612</v>
      </c>
      <c r="B625" s="136">
        <f>IF(C$5=Data!D$3,'Step 2 Inflow Hydrograph'!H669,IF(C$5=Data!D$4,'Step 2 Inflow Hydrograph'!I669,IF(C$5=Data!D$5,'Step 2 Inflow Hydrograph'!J669,'Step 2 Inflow Hydrograph'!K669)))</f>
        <v>0</v>
      </c>
      <c r="C625" s="127"/>
      <c r="D625" s="6">
        <f t="shared" si="45"/>
        <v>0</v>
      </c>
      <c r="E625" s="6"/>
      <c r="F625" s="6">
        <f t="shared" si="49"/>
        <v>0</v>
      </c>
      <c r="G625" s="149">
        <f>INDEX('Step 4 Stage Discharge'!E$26:F$126,MATCH(F625,'Step 4 Stage Discharge'!E$26:E$126,1),2)+(INDEX('Step 4 Stage Discharge'!E$26:F$126,MATCH(F625,'Step 4 Stage Discharge'!E$26:E$126,1)+1,2)-INDEX('Step 4 Stage Discharge'!E$26:F$126,MATCH(F625,'Step 4 Stage Discharge'!E$26:E$126,1),2))*(F625-INDEX('Step 4 Stage Discharge'!E$26:F$126,MATCH(F625,'Step 4 Stage Discharge'!E$26:E$126,1),1))/(INDEX('Step 4 Stage Discharge'!E$26:F$126,MATCH(F625,'Step 4 Stage Discharge'!E$26:E$126,1)+1,1)-INDEX('Step 4 Stage Discharge'!E$26:F$126,MATCH(F625,'Step 4 Stage Discharge'!E$26:E$126,1),1))</f>
        <v>0</v>
      </c>
      <c r="H625" s="149"/>
      <c r="I625" s="149">
        <f>INDEX('Step 4 Stage Discharge'!E$26:M$126,MATCH(F625,'Step 4 Stage Discharge'!E$26:E$126,1),9)+(INDEX('Step 4 Stage Discharge'!E$26:M$126,MATCH('Step 5 Routing'!F625,'Step 4 Stage Discharge'!E$26:E$126,1)+1,9)-INDEX('Step 4 Stage Discharge'!E$26:M$126,MATCH('Step 5 Routing'!F625,'Step 4 Stage Discharge'!E$26:E$126,1),9))*('Step 5 Routing'!F625-INDEX('Step 4 Stage Discharge'!E$26:M$126,MATCH('Step 5 Routing'!F625,'Step 4 Stage Discharge'!E$26:E$126,1),1))/(INDEX('Step 4 Stage Discharge'!E$26:M$126,MATCH('Step 5 Routing'!F625,'Step 4 Stage Discharge'!E$26:E$126,1)+1,1)-INDEX('Step 4 Stage Discharge'!E$26:M$126,MATCH('Step 5 Routing'!F625,'Step 4 Stage Discharge'!E$26:E$126,1),1))</f>
        <v>4.3639431710317386E-3</v>
      </c>
      <c r="J625" s="149"/>
      <c r="K625" s="6">
        <f t="shared" si="46"/>
        <v>0</v>
      </c>
      <c r="L625" s="6">
        <f t="shared" si="47"/>
        <v>0</v>
      </c>
    </row>
    <row r="626" spans="1:12">
      <c r="A626">
        <f t="shared" si="48"/>
        <v>613</v>
      </c>
      <c r="B626" s="136">
        <f>IF(C$5=Data!D$3,'Step 2 Inflow Hydrograph'!H670,IF(C$5=Data!D$4,'Step 2 Inflow Hydrograph'!I670,IF(C$5=Data!D$5,'Step 2 Inflow Hydrograph'!J670,'Step 2 Inflow Hydrograph'!K670)))</f>
        <v>0</v>
      </c>
      <c r="C626" s="127"/>
      <c r="D626" s="6">
        <f t="shared" si="45"/>
        <v>0</v>
      </c>
      <c r="E626" s="6"/>
      <c r="F626" s="6">
        <f t="shared" si="49"/>
        <v>0</v>
      </c>
      <c r="G626" s="149">
        <f>INDEX('Step 4 Stage Discharge'!E$26:F$126,MATCH(F626,'Step 4 Stage Discharge'!E$26:E$126,1),2)+(INDEX('Step 4 Stage Discharge'!E$26:F$126,MATCH(F626,'Step 4 Stage Discharge'!E$26:E$126,1)+1,2)-INDEX('Step 4 Stage Discharge'!E$26:F$126,MATCH(F626,'Step 4 Stage Discharge'!E$26:E$126,1),2))*(F626-INDEX('Step 4 Stage Discharge'!E$26:F$126,MATCH(F626,'Step 4 Stage Discharge'!E$26:E$126,1),1))/(INDEX('Step 4 Stage Discharge'!E$26:F$126,MATCH(F626,'Step 4 Stage Discharge'!E$26:E$126,1)+1,1)-INDEX('Step 4 Stage Discharge'!E$26:F$126,MATCH(F626,'Step 4 Stage Discharge'!E$26:E$126,1),1))</f>
        <v>0</v>
      </c>
      <c r="H626" s="149"/>
      <c r="I626" s="149">
        <f>INDEX('Step 4 Stage Discharge'!E$26:M$126,MATCH(F626,'Step 4 Stage Discharge'!E$26:E$126,1),9)+(INDEX('Step 4 Stage Discharge'!E$26:M$126,MATCH('Step 5 Routing'!F626,'Step 4 Stage Discharge'!E$26:E$126,1)+1,9)-INDEX('Step 4 Stage Discharge'!E$26:M$126,MATCH('Step 5 Routing'!F626,'Step 4 Stage Discharge'!E$26:E$126,1),9))*('Step 5 Routing'!F626-INDEX('Step 4 Stage Discharge'!E$26:M$126,MATCH('Step 5 Routing'!F626,'Step 4 Stage Discharge'!E$26:E$126,1),1))/(INDEX('Step 4 Stage Discharge'!E$26:M$126,MATCH('Step 5 Routing'!F626,'Step 4 Stage Discharge'!E$26:E$126,1)+1,1)-INDEX('Step 4 Stage Discharge'!E$26:M$126,MATCH('Step 5 Routing'!F626,'Step 4 Stage Discharge'!E$26:E$126,1),1))</f>
        <v>4.3639431710317386E-3</v>
      </c>
      <c r="J626" s="149"/>
      <c r="K626" s="6">
        <f t="shared" si="46"/>
        <v>0</v>
      </c>
      <c r="L626" s="6">
        <f t="shared" si="47"/>
        <v>0</v>
      </c>
    </row>
    <row r="627" spans="1:12">
      <c r="A627">
        <f t="shared" si="48"/>
        <v>614</v>
      </c>
      <c r="B627" s="136">
        <f>IF(C$5=Data!D$3,'Step 2 Inflow Hydrograph'!H671,IF(C$5=Data!D$4,'Step 2 Inflow Hydrograph'!I671,IF(C$5=Data!D$5,'Step 2 Inflow Hydrograph'!J671,'Step 2 Inflow Hydrograph'!K671)))</f>
        <v>0</v>
      </c>
      <c r="C627" s="127"/>
      <c r="D627" s="6">
        <f t="shared" si="45"/>
        <v>0</v>
      </c>
      <c r="E627" s="6"/>
      <c r="F627" s="6">
        <f t="shared" si="49"/>
        <v>0</v>
      </c>
      <c r="G627" s="149">
        <f>INDEX('Step 4 Stage Discharge'!E$26:F$126,MATCH(F627,'Step 4 Stage Discharge'!E$26:E$126,1),2)+(INDEX('Step 4 Stage Discharge'!E$26:F$126,MATCH(F627,'Step 4 Stage Discharge'!E$26:E$126,1)+1,2)-INDEX('Step 4 Stage Discharge'!E$26:F$126,MATCH(F627,'Step 4 Stage Discharge'!E$26:E$126,1),2))*(F627-INDEX('Step 4 Stage Discharge'!E$26:F$126,MATCH(F627,'Step 4 Stage Discharge'!E$26:E$126,1),1))/(INDEX('Step 4 Stage Discharge'!E$26:F$126,MATCH(F627,'Step 4 Stage Discharge'!E$26:E$126,1)+1,1)-INDEX('Step 4 Stage Discharge'!E$26:F$126,MATCH(F627,'Step 4 Stage Discharge'!E$26:E$126,1),1))</f>
        <v>0</v>
      </c>
      <c r="H627" s="149"/>
      <c r="I627" s="149">
        <f>INDEX('Step 4 Stage Discharge'!E$26:M$126,MATCH(F627,'Step 4 Stage Discharge'!E$26:E$126,1),9)+(INDEX('Step 4 Stage Discharge'!E$26:M$126,MATCH('Step 5 Routing'!F627,'Step 4 Stage Discharge'!E$26:E$126,1)+1,9)-INDEX('Step 4 Stage Discharge'!E$26:M$126,MATCH('Step 5 Routing'!F627,'Step 4 Stage Discharge'!E$26:E$126,1),9))*('Step 5 Routing'!F627-INDEX('Step 4 Stage Discharge'!E$26:M$126,MATCH('Step 5 Routing'!F627,'Step 4 Stage Discharge'!E$26:E$126,1),1))/(INDEX('Step 4 Stage Discharge'!E$26:M$126,MATCH('Step 5 Routing'!F627,'Step 4 Stage Discharge'!E$26:E$126,1)+1,1)-INDEX('Step 4 Stage Discharge'!E$26:M$126,MATCH('Step 5 Routing'!F627,'Step 4 Stage Discharge'!E$26:E$126,1),1))</f>
        <v>4.3639431710317386E-3</v>
      </c>
      <c r="J627" s="149"/>
      <c r="K627" s="6">
        <f t="shared" si="46"/>
        <v>0</v>
      </c>
      <c r="L627" s="6">
        <f t="shared" si="47"/>
        <v>0</v>
      </c>
    </row>
    <row r="628" spans="1:12">
      <c r="A628">
        <f t="shared" si="48"/>
        <v>615</v>
      </c>
      <c r="B628" s="136">
        <f>IF(C$5=Data!D$3,'Step 2 Inflow Hydrograph'!H672,IF(C$5=Data!D$4,'Step 2 Inflow Hydrograph'!I672,IF(C$5=Data!D$5,'Step 2 Inflow Hydrograph'!J672,'Step 2 Inflow Hydrograph'!K672)))</f>
        <v>0</v>
      </c>
      <c r="C628" s="127"/>
      <c r="D628" s="6">
        <f t="shared" si="45"/>
        <v>0</v>
      </c>
      <c r="E628" s="6"/>
      <c r="F628" s="6">
        <f t="shared" si="49"/>
        <v>0</v>
      </c>
      <c r="G628" s="149">
        <f>INDEX('Step 4 Stage Discharge'!E$26:F$126,MATCH(F628,'Step 4 Stage Discharge'!E$26:E$126,1),2)+(INDEX('Step 4 Stage Discharge'!E$26:F$126,MATCH(F628,'Step 4 Stage Discharge'!E$26:E$126,1)+1,2)-INDEX('Step 4 Stage Discharge'!E$26:F$126,MATCH(F628,'Step 4 Stage Discharge'!E$26:E$126,1),2))*(F628-INDEX('Step 4 Stage Discharge'!E$26:F$126,MATCH(F628,'Step 4 Stage Discharge'!E$26:E$126,1),1))/(INDEX('Step 4 Stage Discharge'!E$26:F$126,MATCH(F628,'Step 4 Stage Discharge'!E$26:E$126,1)+1,1)-INDEX('Step 4 Stage Discharge'!E$26:F$126,MATCH(F628,'Step 4 Stage Discharge'!E$26:E$126,1),1))</f>
        <v>0</v>
      </c>
      <c r="H628" s="149"/>
      <c r="I628" s="149">
        <f>INDEX('Step 4 Stage Discharge'!E$26:M$126,MATCH(F628,'Step 4 Stage Discharge'!E$26:E$126,1),9)+(INDEX('Step 4 Stage Discharge'!E$26:M$126,MATCH('Step 5 Routing'!F628,'Step 4 Stage Discharge'!E$26:E$126,1)+1,9)-INDEX('Step 4 Stage Discharge'!E$26:M$126,MATCH('Step 5 Routing'!F628,'Step 4 Stage Discharge'!E$26:E$126,1),9))*('Step 5 Routing'!F628-INDEX('Step 4 Stage Discharge'!E$26:M$126,MATCH('Step 5 Routing'!F628,'Step 4 Stage Discharge'!E$26:E$126,1),1))/(INDEX('Step 4 Stage Discharge'!E$26:M$126,MATCH('Step 5 Routing'!F628,'Step 4 Stage Discharge'!E$26:E$126,1)+1,1)-INDEX('Step 4 Stage Discharge'!E$26:M$126,MATCH('Step 5 Routing'!F628,'Step 4 Stage Discharge'!E$26:E$126,1),1))</f>
        <v>4.3639431710317386E-3</v>
      </c>
      <c r="J628" s="149"/>
      <c r="K628" s="6">
        <f t="shared" si="46"/>
        <v>0</v>
      </c>
      <c r="L628" s="6">
        <f t="shared" si="47"/>
        <v>0</v>
      </c>
    </row>
    <row r="629" spans="1:12">
      <c r="A629">
        <f t="shared" si="48"/>
        <v>616</v>
      </c>
      <c r="B629" s="136">
        <f>IF(C$5=Data!D$3,'Step 2 Inflow Hydrograph'!H673,IF(C$5=Data!D$4,'Step 2 Inflow Hydrograph'!I673,IF(C$5=Data!D$5,'Step 2 Inflow Hydrograph'!J673,'Step 2 Inflow Hydrograph'!K673)))</f>
        <v>0</v>
      </c>
      <c r="C629" s="127"/>
      <c r="D629" s="6">
        <f t="shared" si="45"/>
        <v>0</v>
      </c>
      <c r="E629" s="6"/>
      <c r="F629" s="6">
        <f t="shared" si="49"/>
        <v>0</v>
      </c>
      <c r="G629" s="149">
        <f>INDEX('Step 4 Stage Discharge'!E$26:F$126,MATCH(F629,'Step 4 Stage Discharge'!E$26:E$126,1),2)+(INDEX('Step 4 Stage Discharge'!E$26:F$126,MATCH(F629,'Step 4 Stage Discharge'!E$26:E$126,1)+1,2)-INDEX('Step 4 Stage Discharge'!E$26:F$126,MATCH(F629,'Step 4 Stage Discharge'!E$26:E$126,1),2))*(F629-INDEX('Step 4 Stage Discharge'!E$26:F$126,MATCH(F629,'Step 4 Stage Discharge'!E$26:E$126,1),1))/(INDEX('Step 4 Stage Discharge'!E$26:F$126,MATCH(F629,'Step 4 Stage Discharge'!E$26:E$126,1)+1,1)-INDEX('Step 4 Stage Discharge'!E$26:F$126,MATCH(F629,'Step 4 Stage Discharge'!E$26:E$126,1),1))</f>
        <v>0</v>
      </c>
      <c r="H629" s="149"/>
      <c r="I629" s="149">
        <f>INDEX('Step 4 Stage Discharge'!E$26:M$126,MATCH(F629,'Step 4 Stage Discharge'!E$26:E$126,1),9)+(INDEX('Step 4 Stage Discharge'!E$26:M$126,MATCH('Step 5 Routing'!F629,'Step 4 Stage Discharge'!E$26:E$126,1)+1,9)-INDEX('Step 4 Stage Discharge'!E$26:M$126,MATCH('Step 5 Routing'!F629,'Step 4 Stage Discharge'!E$26:E$126,1),9))*('Step 5 Routing'!F629-INDEX('Step 4 Stage Discharge'!E$26:M$126,MATCH('Step 5 Routing'!F629,'Step 4 Stage Discharge'!E$26:E$126,1),1))/(INDEX('Step 4 Stage Discharge'!E$26:M$126,MATCH('Step 5 Routing'!F629,'Step 4 Stage Discharge'!E$26:E$126,1)+1,1)-INDEX('Step 4 Stage Discharge'!E$26:M$126,MATCH('Step 5 Routing'!F629,'Step 4 Stage Discharge'!E$26:E$126,1),1))</f>
        <v>4.3639431710317386E-3</v>
      </c>
      <c r="J629" s="149"/>
      <c r="K629" s="6">
        <f t="shared" si="46"/>
        <v>0</v>
      </c>
      <c r="L629" s="6">
        <f t="shared" si="47"/>
        <v>0</v>
      </c>
    </row>
    <row r="630" spans="1:12">
      <c r="A630">
        <f t="shared" si="48"/>
        <v>617</v>
      </c>
      <c r="B630" s="136">
        <f>IF(C$5=Data!D$3,'Step 2 Inflow Hydrograph'!H674,IF(C$5=Data!D$4,'Step 2 Inflow Hydrograph'!I674,IF(C$5=Data!D$5,'Step 2 Inflow Hydrograph'!J674,'Step 2 Inflow Hydrograph'!K674)))</f>
        <v>0</v>
      </c>
      <c r="C630" s="127"/>
      <c r="D630" s="6">
        <f t="shared" si="45"/>
        <v>0</v>
      </c>
      <c r="E630" s="6"/>
      <c r="F630" s="6">
        <f t="shared" si="49"/>
        <v>0</v>
      </c>
      <c r="G630" s="149">
        <f>INDEX('Step 4 Stage Discharge'!E$26:F$126,MATCH(F630,'Step 4 Stage Discharge'!E$26:E$126,1),2)+(INDEX('Step 4 Stage Discharge'!E$26:F$126,MATCH(F630,'Step 4 Stage Discharge'!E$26:E$126,1)+1,2)-INDEX('Step 4 Stage Discharge'!E$26:F$126,MATCH(F630,'Step 4 Stage Discharge'!E$26:E$126,1),2))*(F630-INDEX('Step 4 Stage Discharge'!E$26:F$126,MATCH(F630,'Step 4 Stage Discharge'!E$26:E$126,1),1))/(INDEX('Step 4 Stage Discharge'!E$26:F$126,MATCH(F630,'Step 4 Stage Discharge'!E$26:E$126,1)+1,1)-INDEX('Step 4 Stage Discharge'!E$26:F$126,MATCH(F630,'Step 4 Stage Discharge'!E$26:E$126,1),1))</f>
        <v>0</v>
      </c>
      <c r="H630" s="149"/>
      <c r="I630" s="149">
        <f>INDEX('Step 4 Stage Discharge'!E$26:M$126,MATCH(F630,'Step 4 Stage Discharge'!E$26:E$126,1),9)+(INDEX('Step 4 Stage Discharge'!E$26:M$126,MATCH('Step 5 Routing'!F630,'Step 4 Stage Discharge'!E$26:E$126,1)+1,9)-INDEX('Step 4 Stage Discharge'!E$26:M$126,MATCH('Step 5 Routing'!F630,'Step 4 Stage Discharge'!E$26:E$126,1),9))*('Step 5 Routing'!F630-INDEX('Step 4 Stage Discharge'!E$26:M$126,MATCH('Step 5 Routing'!F630,'Step 4 Stage Discharge'!E$26:E$126,1),1))/(INDEX('Step 4 Stage Discharge'!E$26:M$126,MATCH('Step 5 Routing'!F630,'Step 4 Stage Discharge'!E$26:E$126,1)+1,1)-INDEX('Step 4 Stage Discharge'!E$26:M$126,MATCH('Step 5 Routing'!F630,'Step 4 Stage Discharge'!E$26:E$126,1),1))</f>
        <v>4.3639431710317386E-3</v>
      </c>
      <c r="J630" s="149"/>
      <c r="K630" s="6">
        <f t="shared" si="46"/>
        <v>0</v>
      </c>
      <c r="L630" s="6">
        <f t="shared" si="47"/>
        <v>0</v>
      </c>
    </row>
    <row r="631" spans="1:12">
      <c r="A631">
        <f t="shared" si="48"/>
        <v>618</v>
      </c>
      <c r="B631" s="136">
        <f>IF(C$5=Data!D$3,'Step 2 Inflow Hydrograph'!H675,IF(C$5=Data!D$4,'Step 2 Inflow Hydrograph'!I675,IF(C$5=Data!D$5,'Step 2 Inflow Hydrograph'!J675,'Step 2 Inflow Hydrograph'!K675)))</f>
        <v>0</v>
      </c>
      <c r="C631" s="127"/>
      <c r="D631" s="6">
        <f t="shared" si="45"/>
        <v>0</v>
      </c>
      <c r="E631" s="6"/>
      <c r="F631" s="6">
        <f t="shared" si="49"/>
        <v>0</v>
      </c>
      <c r="G631" s="149">
        <f>INDEX('Step 4 Stage Discharge'!E$26:F$126,MATCH(F631,'Step 4 Stage Discharge'!E$26:E$126,1),2)+(INDEX('Step 4 Stage Discharge'!E$26:F$126,MATCH(F631,'Step 4 Stage Discharge'!E$26:E$126,1)+1,2)-INDEX('Step 4 Stage Discharge'!E$26:F$126,MATCH(F631,'Step 4 Stage Discharge'!E$26:E$126,1),2))*(F631-INDEX('Step 4 Stage Discharge'!E$26:F$126,MATCH(F631,'Step 4 Stage Discharge'!E$26:E$126,1),1))/(INDEX('Step 4 Stage Discharge'!E$26:F$126,MATCH(F631,'Step 4 Stage Discharge'!E$26:E$126,1)+1,1)-INDEX('Step 4 Stage Discharge'!E$26:F$126,MATCH(F631,'Step 4 Stage Discharge'!E$26:E$126,1),1))</f>
        <v>0</v>
      </c>
      <c r="H631" s="149"/>
      <c r="I631" s="149">
        <f>INDEX('Step 4 Stage Discharge'!E$26:M$126,MATCH(F631,'Step 4 Stage Discharge'!E$26:E$126,1),9)+(INDEX('Step 4 Stage Discharge'!E$26:M$126,MATCH('Step 5 Routing'!F631,'Step 4 Stage Discharge'!E$26:E$126,1)+1,9)-INDEX('Step 4 Stage Discharge'!E$26:M$126,MATCH('Step 5 Routing'!F631,'Step 4 Stage Discharge'!E$26:E$126,1),9))*('Step 5 Routing'!F631-INDEX('Step 4 Stage Discharge'!E$26:M$126,MATCH('Step 5 Routing'!F631,'Step 4 Stage Discharge'!E$26:E$126,1),1))/(INDEX('Step 4 Stage Discharge'!E$26:M$126,MATCH('Step 5 Routing'!F631,'Step 4 Stage Discharge'!E$26:E$126,1)+1,1)-INDEX('Step 4 Stage Discharge'!E$26:M$126,MATCH('Step 5 Routing'!F631,'Step 4 Stage Discharge'!E$26:E$126,1),1))</f>
        <v>4.3639431710317386E-3</v>
      </c>
      <c r="J631" s="149"/>
      <c r="K631" s="6">
        <f t="shared" si="46"/>
        <v>0</v>
      </c>
      <c r="L631" s="6">
        <f t="shared" si="47"/>
        <v>0</v>
      </c>
    </row>
    <row r="632" spans="1:12">
      <c r="A632">
        <f t="shared" si="48"/>
        <v>619</v>
      </c>
      <c r="B632" s="136">
        <f>IF(C$5=Data!D$3,'Step 2 Inflow Hydrograph'!H676,IF(C$5=Data!D$4,'Step 2 Inflow Hydrograph'!I676,IF(C$5=Data!D$5,'Step 2 Inflow Hydrograph'!J676,'Step 2 Inflow Hydrograph'!K676)))</f>
        <v>0</v>
      </c>
      <c r="C632" s="127"/>
      <c r="D632" s="6">
        <f t="shared" si="45"/>
        <v>0</v>
      </c>
      <c r="E632" s="6"/>
      <c r="F632" s="6">
        <f t="shared" si="49"/>
        <v>0</v>
      </c>
      <c r="G632" s="149">
        <f>INDEX('Step 4 Stage Discharge'!E$26:F$126,MATCH(F632,'Step 4 Stage Discharge'!E$26:E$126,1),2)+(INDEX('Step 4 Stage Discharge'!E$26:F$126,MATCH(F632,'Step 4 Stage Discharge'!E$26:E$126,1)+1,2)-INDEX('Step 4 Stage Discharge'!E$26:F$126,MATCH(F632,'Step 4 Stage Discharge'!E$26:E$126,1),2))*(F632-INDEX('Step 4 Stage Discharge'!E$26:F$126,MATCH(F632,'Step 4 Stage Discharge'!E$26:E$126,1),1))/(INDEX('Step 4 Stage Discharge'!E$26:F$126,MATCH(F632,'Step 4 Stage Discharge'!E$26:E$126,1)+1,1)-INDEX('Step 4 Stage Discharge'!E$26:F$126,MATCH(F632,'Step 4 Stage Discharge'!E$26:E$126,1),1))</f>
        <v>0</v>
      </c>
      <c r="H632" s="149"/>
      <c r="I632" s="149">
        <f>INDEX('Step 4 Stage Discharge'!E$26:M$126,MATCH(F632,'Step 4 Stage Discharge'!E$26:E$126,1),9)+(INDEX('Step 4 Stage Discharge'!E$26:M$126,MATCH('Step 5 Routing'!F632,'Step 4 Stage Discharge'!E$26:E$126,1)+1,9)-INDEX('Step 4 Stage Discharge'!E$26:M$126,MATCH('Step 5 Routing'!F632,'Step 4 Stage Discharge'!E$26:E$126,1),9))*('Step 5 Routing'!F632-INDEX('Step 4 Stage Discharge'!E$26:M$126,MATCH('Step 5 Routing'!F632,'Step 4 Stage Discharge'!E$26:E$126,1),1))/(INDEX('Step 4 Stage Discharge'!E$26:M$126,MATCH('Step 5 Routing'!F632,'Step 4 Stage Discharge'!E$26:E$126,1)+1,1)-INDEX('Step 4 Stage Discharge'!E$26:M$126,MATCH('Step 5 Routing'!F632,'Step 4 Stage Discharge'!E$26:E$126,1),1))</f>
        <v>4.3639431710317386E-3</v>
      </c>
      <c r="J632" s="149"/>
      <c r="K632" s="6">
        <f t="shared" si="46"/>
        <v>0</v>
      </c>
      <c r="L632" s="6">
        <f t="shared" si="47"/>
        <v>0</v>
      </c>
    </row>
    <row r="633" spans="1:12">
      <c r="A633">
        <f t="shared" si="48"/>
        <v>620</v>
      </c>
      <c r="B633" s="136">
        <f>IF(C$5=Data!D$3,'Step 2 Inflow Hydrograph'!H677,IF(C$5=Data!D$4,'Step 2 Inflow Hydrograph'!I677,IF(C$5=Data!D$5,'Step 2 Inflow Hydrograph'!J677,'Step 2 Inflow Hydrograph'!K677)))</f>
        <v>0</v>
      </c>
      <c r="C633" s="127"/>
      <c r="D633" s="6">
        <f t="shared" si="45"/>
        <v>0</v>
      </c>
      <c r="E633" s="6"/>
      <c r="F633" s="6">
        <f t="shared" si="49"/>
        <v>0</v>
      </c>
      <c r="G633" s="149">
        <f>INDEX('Step 4 Stage Discharge'!E$26:F$126,MATCH(F633,'Step 4 Stage Discharge'!E$26:E$126,1),2)+(INDEX('Step 4 Stage Discharge'!E$26:F$126,MATCH(F633,'Step 4 Stage Discharge'!E$26:E$126,1)+1,2)-INDEX('Step 4 Stage Discharge'!E$26:F$126,MATCH(F633,'Step 4 Stage Discharge'!E$26:E$126,1),2))*(F633-INDEX('Step 4 Stage Discharge'!E$26:F$126,MATCH(F633,'Step 4 Stage Discharge'!E$26:E$126,1),1))/(INDEX('Step 4 Stage Discharge'!E$26:F$126,MATCH(F633,'Step 4 Stage Discharge'!E$26:E$126,1)+1,1)-INDEX('Step 4 Stage Discharge'!E$26:F$126,MATCH(F633,'Step 4 Stage Discharge'!E$26:E$126,1),1))</f>
        <v>0</v>
      </c>
      <c r="H633" s="149"/>
      <c r="I633" s="149">
        <f>INDEX('Step 4 Stage Discharge'!E$26:M$126,MATCH(F633,'Step 4 Stage Discharge'!E$26:E$126,1),9)+(INDEX('Step 4 Stage Discharge'!E$26:M$126,MATCH('Step 5 Routing'!F633,'Step 4 Stage Discharge'!E$26:E$126,1)+1,9)-INDEX('Step 4 Stage Discharge'!E$26:M$126,MATCH('Step 5 Routing'!F633,'Step 4 Stage Discharge'!E$26:E$126,1),9))*('Step 5 Routing'!F633-INDEX('Step 4 Stage Discharge'!E$26:M$126,MATCH('Step 5 Routing'!F633,'Step 4 Stage Discharge'!E$26:E$126,1),1))/(INDEX('Step 4 Stage Discharge'!E$26:M$126,MATCH('Step 5 Routing'!F633,'Step 4 Stage Discharge'!E$26:E$126,1)+1,1)-INDEX('Step 4 Stage Discharge'!E$26:M$126,MATCH('Step 5 Routing'!F633,'Step 4 Stage Discharge'!E$26:E$126,1),1))</f>
        <v>4.3639431710317386E-3</v>
      </c>
      <c r="J633" s="149"/>
      <c r="K633" s="6">
        <f t="shared" si="46"/>
        <v>0</v>
      </c>
      <c r="L633" s="6">
        <f t="shared" si="47"/>
        <v>0</v>
      </c>
    </row>
    <row r="634" spans="1:12">
      <c r="A634">
        <f t="shared" si="48"/>
        <v>621</v>
      </c>
      <c r="B634" s="136">
        <f>IF(C$5=Data!D$3,'Step 2 Inflow Hydrograph'!H678,IF(C$5=Data!D$4,'Step 2 Inflow Hydrograph'!I678,IF(C$5=Data!D$5,'Step 2 Inflow Hydrograph'!J678,'Step 2 Inflow Hydrograph'!K678)))</f>
        <v>0</v>
      </c>
      <c r="C634" s="127"/>
      <c r="D634" s="6">
        <f t="shared" si="45"/>
        <v>0</v>
      </c>
      <c r="E634" s="6"/>
      <c r="F634" s="6">
        <f t="shared" si="49"/>
        <v>0</v>
      </c>
      <c r="G634" s="149">
        <f>INDEX('Step 4 Stage Discharge'!E$26:F$126,MATCH(F634,'Step 4 Stage Discharge'!E$26:E$126,1),2)+(INDEX('Step 4 Stage Discharge'!E$26:F$126,MATCH(F634,'Step 4 Stage Discharge'!E$26:E$126,1)+1,2)-INDEX('Step 4 Stage Discharge'!E$26:F$126,MATCH(F634,'Step 4 Stage Discharge'!E$26:E$126,1),2))*(F634-INDEX('Step 4 Stage Discharge'!E$26:F$126,MATCH(F634,'Step 4 Stage Discharge'!E$26:E$126,1),1))/(INDEX('Step 4 Stage Discharge'!E$26:F$126,MATCH(F634,'Step 4 Stage Discharge'!E$26:E$126,1)+1,1)-INDEX('Step 4 Stage Discharge'!E$26:F$126,MATCH(F634,'Step 4 Stage Discharge'!E$26:E$126,1),1))</f>
        <v>0</v>
      </c>
      <c r="H634" s="149"/>
      <c r="I634" s="149">
        <f>INDEX('Step 4 Stage Discharge'!E$26:M$126,MATCH(F634,'Step 4 Stage Discharge'!E$26:E$126,1),9)+(INDEX('Step 4 Stage Discharge'!E$26:M$126,MATCH('Step 5 Routing'!F634,'Step 4 Stage Discharge'!E$26:E$126,1)+1,9)-INDEX('Step 4 Stage Discharge'!E$26:M$126,MATCH('Step 5 Routing'!F634,'Step 4 Stage Discharge'!E$26:E$126,1),9))*('Step 5 Routing'!F634-INDEX('Step 4 Stage Discharge'!E$26:M$126,MATCH('Step 5 Routing'!F634,'Step 4 Stage Discharge'!E$26:E$126,1),1))/(INDEX('Step 4 Stage Discharge'!E$26:M$126,MATCH('Step 5 Routing'!F634,'Step 4 Stage Discharge'!E$26:E$126,1)+1,1)-INDEX('Step 4 Stage Discharge'!E$26:M$126,MATCH('Step 5 Routing'!F634,'Step 4 Stage Discharge'!E$26:E$126,1),1))</f>
        <v>4.3639431710317386E-3</v>
      </c>
      <c r="J634" s="149"/>
      <c r="K634" s="6">
        <f t="shared" si="46"/>
        <v>0</v>
      </c>
      <c r="L634" s="6">
        <f t="shared" si="47"/>
        <v>0</v>
      </c>
    </row>
    <row r="635" spans="1:12">
      <c r="A635">
        <f t="shared" si="48"/>
        <v>622</v>
      </c>
      <c r="B635" s="136">
        <f>IF(C$5=Data!D$3,'Step 2 Inflow Hydrograph'!H679,IF(C$5=Data!D$4,'Step 2 Inflow Hydrograph'!I679,IF(C$5=Data!D$5,'Step 2 Inflow Hydrograph'!J679,'Step 2 Inflow Hydrograph'!K679)))</f>
        <v>0</v>
      </c>
      <c r="C635" s="127"/>
      <c r="D635" s="6">
        <f t="shared" si="45"/>
        <v>0</v>
      </c>
      <c r="E635" s="6"/>
      <c r="F635" s="6">
        <f t="shared" si="49"/>
        <v>0</v>
      </c>
      <c r="G635" s="149">
        <f>INDEX('Step 4 Stage Discharge'!E$26:F$126,MATCH(F635,'Step 4 Stage Discharge'!E$26:E$126,1),2)+(INDEX('Step 4 Stage Discharge'!E$26:F$126,MATCH(F635,'Step 4 Stage Discharge'!E$26:E$126,1)+1,2)-INDEX('Step 4 Stage Discharge'!E$26:F$126,MATCH(F635,'Step 4 Stage Discharge'!E$26:E$126,1),2))*(F635-INDEX('Step 4 Stage Discharge'!E$26:F$126,MATCH(F635,'Step 4 Stage Discharge'!E$26:E$126,1),1))/(INDEX('Step 4 Stage Discharge'!E$26:F$126,MATCH(F635,'Step 4 Stage Discharge'!E$26:E$126,1)+1,1)-INDEX('Step 4 Stage Discharge'!E$26:F$126,MATCH(F635,'Step 4 Stage Discharge'!E$26:E$126,1),1))</f>
        <v>0</v>
      </c>
      <c r="H635" s="149"/>
      <c r="I635" s="149">
        <f>INDEX('Step 4 Stage Discharge'!E$26:M$126,MATCH(F635,'Step 4 Stage Discharge'!E$26:E$126,1),9)+(INDEX('Step 4 Stage Discharge'!E$26:M$126,MATCH('Step 5 Routing'!F635,'Step 4 Stage Discharge'!E$26:E$126,1)+1,9)-INDEX('Step 4 Stage Discharge'!E$26:M$126,MATCH('Step 5 Routing'!F635,'Step 4 Stage Discharge'!E$26:E$126,1),9))*('Step 5 Routing'!F635-INDEX('Step 4 Stage Discharge'!E$26:M$126,MATCH('Step 5 Routing'!F635,'Step 4 Stage Discharge'!E$26:E$126,1),1))/(INDEX('Step 4 Stage Discharge'!E$26:M$126,MATCH('Step 5 Routing'!F635,'Step 4 Stage Discharge'!E$26:E$126,1)+1,1)-INDEX('Step 4 Stage Discharge'!E$26:M$126,MATCH('Step 5 Routing'!F635,'Step 4 Stage Discharge'!E$26:E$126,1),1))</f>
        <v>4.3639431710317386E-3</v>
      </c>
      <c r="J635" s="149"/>
      <c r="K635" s="6">
        <f t="shared" si="46"/>
        <v>0</v>
      </c>
      <c r="L635" s="6">
        <f t="shared" si="47"/>
        <v>0</v>
      </c>
    </row>
    <row r="636" spans="1:12">
      <c r="A636">
        <f t="shared" si="48"/>
        <v>623</v>
      </c>
      <c r="B636" s="136">
        <f>IF(C$5=Data!D$3,'Step 2 Inflow Hydrograph'!H680,IF(C$5=Data!D$4,'Step 2 Inflow Hydrograph'!I680,IF(C$5=Data!D$5,'Step 2 Inflow Hydrograph'!J680,'Step 2 Inflow Hydrograph'!K680)))</f>
        <v>0</v>
      </c>
      <c r="C636" s="127"/>
      <c r="D636" s="6">
        <f t="shared" si="45"/>
        <v>0</v>
      </c>
      <c r="E636" s="6"/>
      <c r="F636" s="6">
        <f t="shared" si="49"/>
        <v>0</v>
      </c>
      <c r="G636" s="149">
        <f>INDEX('Step 4 Stage Discharge'!E$26:F$126,MATCH(F636,'Step 4 Stage Discharge'!E$26:E$126,1),2)+(INDEX('Step 4 Stage Discharge'!E$26:F$126,MATCH(F636,'Step 4 Stage Discharge'!E$26:E$126,1)+1,2)-INDEX('Step 4 Stage Discharge'!E$26:F$126,MATCH(F636,'Step 4 Stage Discharge'!E$26:E$126,1),2))*(F636-INDEX('Step 4 Stage Discharge'!E$26:F$126,MATCH(F636,'Step 4 Stage Discharge'!E$26:E$126,1),1))/(INDEX('Step 4 Stage Discharge'!E$26:F$126,MATCH(F636,'Step 4 Stage Discharge'!E$26:E$126,1)+1,1)-INDEX('Step 4 Stage Discharge'!E$26:F$126,MATCH(F636,'Step 4 Stage Discharge'!E$26:E$126,1),1))</f>
        <v>0</v>
      </c>
      <c r="H636" s="149"/>
      <c r="I636" s="149">
        <f>INDEX('Step 4 Stage Discharge'!E$26:M$126,MATCH(F636,'Step 4 Stage Discharge'!E$26:E$126,1),9)+(INDEX('Step 4 Stage Discharge'!E$26:M$126,MATCH('Step 5 Routing'!F636,'Step 4 Stage Discharge'!E$26:E$126,1)+1,9)-INDEX('Step 4 Stage Discharge'!E$26:M$126,MATCH('Step 5 Routing'!F636,'Step 4 Stage Discharge'!E$26:E$126,1),9))*('Step 5 Routing'!F636-INDEX('Step 4 Stage Discharge'!E$26:M$126,MATCH('Step 5 Routing'!F636,'Step 4 Stage Discharge'!E$26:E$126,1),1))/(INDEX('Step 4 Stage Discharge'!E$26:M$126,MATCH('Step 5 Routing'!F636,'Step 4 Stage Discharge'!E$26:E$126,1)+1,1)-INDEX('Step 4 Stage Discharge'!E$26:M$126,MATCH('Step 5 Routing'!F636,'Step 4 Stage Discharge'!E$26:E$126,1),1))</f>
        <v>4.3639431710317386E-3</v>
      </c>
      <c r="J636" s="149"/>
      <c r="K636" s="6">
        <f t="shared" si="46"/>
        <v>0</v>
      </c>
      <c r="L636" s="6">
        <f t="shared" si="47"/>
        <v>0</v>
      </c>
    </row>
    <row r="637" spans="1:12">
      <c r="A637">
        <f t="shared" si="48"/>
        <v>624</v>
      </c>
      <c r="B637" s="136">
        <f>IF(C$5=Data!D$3,'Step 2 Inflow Hydrograph'!H681,IF(C$5=Data!D$4,'Step 2 Inflow Hydrograph'!I681,IF(C$5=Data!D$5,'Step 2 Inflow Hydrograph'!J681,'Step 2 Inflow Hydrograph'!K681)))</f>
        <v>0</v>
      </c>
      <c r="C637" s="127"/>
      <c r="D637" s="6">
        <f t="shared" si="45"/>
        <v>0</v>
      </c>
      <c r="E637" s="6"/>
      <c r="F637" s="6">
        <f t="shared" si="49"/>
        <v>0</v>
      </c>
      <c r="G637" s="149">
        <f>INDEX('Step 4 Stage Discharge'!E$26:F$126,MATCH(F637,'Step 4 Stage Discharge'!E$26:E$126,1),2)+(INDEX('Step 4 Stage Discharge'!E$26:F$126,MATCH(F637,'Step 4 Stage Discharge'!E$26:E$126,1)+1,2)-INDEX('Step 4 Stage Discharge'!E$26:F$126,MATCH(F637,'Step 4 Stage Discharge'!E$26:E$126,1),2))*(F637-INDEX('Step 4 Stage Discharge'!E$26:F$126,MATCH(F637,'Step 4 Stage Discharge'!E$26:E$126,1),1))/(INDEX('Step 4 Stage Discharge'!E$26:F$126,MATCH(F637,'Step 4 Stage Discharge'!E$26:E$126,1)+1,1)-INDEX('Step 4 Stage Discharge'!E$26:F$126,MATCH(F637,'Step 4 Stage Discharge'!E$26:E$126,1),1))</f>
        <v>0</v>
      </c>
      <c r="H637" s="149"/>
      <c r="I637" s="149">
        <f>INDEX('Step 4 Stage Discharge'!E$26:M$126,MATCH(F637,'Step 4 Stage Discharge'!E$26:E$126,1),9)+(INDEX('Step 4 Stage Discharge'!E$26:M$126,MATCH('Step 5 Routing'!F637,'Step 4 Stage Discharge'!E$26:E$126,1)+1,9)-INDEX('Step 4 Stage Discharge'!E$26:M$126,MATCH('Step 5 Routing'!F637,'Step 4 Stage Discharge'!E$26:E$126,1),9))*('Step 5 Routing'!F637-INDEX('Step 4 Stage Discharge'!E$26:M$126,MATCH('Step 5 Routing'!F637,'Step 4 Stage Discharge'!E$26:E$126,1),1))/(INDEX('Step 4 Stage Discharge'!E$26:M$126,MATCH('Step 5 Routing'!F637,'Step 4 Stage Discharge'!E$26:E$126,1)+1,1)-INDEX('Step 4 Stage Discharge'!E$26:M$126,MATCH('Step 5 Routing'!F637,'Step 4 Stage Discharge'!E$26:E$126,1),1))</f>
        <v>4.3639431710317386E-3</v>
      </c>
      <c r="J637" s="149"/>
      <c r="K637" s="6">
        <f t="shared" si="46"/>
        <v>0</v>
      </c>
      <c r="L637" s="6">
        <f t="shared" si="47"/>
        <v>0</v>
      </c>
    </row>
    <row r="638" spans="1:12">
      <c r="A638">
        <f t="shared" si="48"/>
        <v>625</v>
      </c>
      <c r="B638" s="136">
        <f>IF(C$5=Data!D$3,'Step 2 Inflow Hydrograph'!H682,IF(C$5=Data!D$4,'Step 2 Inflow Hydrograph'!I682,IF(C$5=Data!D$5,'Step 2 Inflow Hydrograph'!J682,'Step 2 Inflow Hydrograph'!K682)))</f>
        <v>0</v>
      </c>
      <c r="C638" s="127"/>
      <c r="D638" s="6">
        <f t="shared" si="45"/>
        <v>0</v>
      </c>
      <c r="E638" s="6"/>
      <c r="F638" s="6">
        <f t="shared" si="49"/>
        <v>0</v>
      </c>
      <c r="G638" s="149">
        <f>INDEX('Step 4 Stage Discharge'!E$26:F$126,MATCH(F638,'Step 4 Stage Discharge'!E$26:E$126,1),2)+(INDEX('Step 4 Stage Discharge'!E$26:F$126,MATCH(F638,'Step 4 Stage Discharge'!E$26:E$126,1)+1,2)-INDEX('Step 4 Stage Discharge'!E$26:F$126,MATCH(F638,'Step 4 Stage Discharge'!E$26:E$126,1),2))*(F638-INDEX('Step 4 Stage Discharge'!E$26:F$126,MATCH(F638,'Step 4 Stage Discharge'!E$26:E$126,1),1))/(INDEX('Step 4 Stage Discharge'!E$26:F$126,MATCH(F638,'Step 4 Stage Discharge'!E$26:E$126,1)+1,1)-INDEX('Step 4 Stage Discharge'!E$26:F$126,MATCH(F638,'Step 4 Stage Discharge'!E$26:E$126,1),1))</f>
        <v>0</v>
      </c>
      <c r="H638" s="149"/>
      <c r="I638" s="149">
        <f>INDEX('Step 4 Stage Discharge'!E$26:M$126,MATCH(F638,'Step 4 Stage Discharge'!E$26:E$126,1),9)+(INDEX('Step 4 Stage Discharge'!E$26:M$126,MATCH('Step 5 Routing'!F638,'Step 4 Stage Discharge'!E$26:E$126,1)+1,9)-INDEX('Step 4 Stage Discharge'!E$26:M$126,MATCH('Step 5 Routing'!F638,'Step 4 Stage Discharge'!E$26:E$126,1),9))*('Step 5 Routing'!F638-INDEX('Step 4 Stage Discharge'!E$26:M$126,MATCH('Step 5 Routing'!F638,'Step 4 Stage Discharge'!E$26:E$126,1),1))/(INDEX('Step 4 Stage Discharge'!E$26:M$126,MATCH('Step 5 Routing'!F638,'Step 4 Stage Discharge'!E$26:E$126,1)+1,1)-INDEX('Step 4 Stage Discharge'!E$26:M$126,MATCH('Step 5 Routing'!F638,'Step 4 Stage Discharge'!E$26:E$126,1),1))</f>
        <v>4.3639431710317386E-3</v>
      </c>
      <c r="J638" s="149"/>
      <c r="K638" s="6">
        <f t="shared" si="46"/>
        <v>0</v>
      </c>
      <c r="L638" s="6">
        <f t="shared" si="47"/>
        <v>0</v>
      </c>
    </row>
    <row r="639" spans="1:12">
      <c r="A639">
        <f t="shared" si="48"/>
        <v>626</v>
      </c>
      <c r="B639" s="136">
        <f>IF(C$5=Data!D$3,'Step 2 Inflow Hydrograph'!H683,IF(C$5=Data!D$4,'Step 2 Inflow Hydrograph'!I683,IF(C$5=Data!D$5,'Step 2 Inflow Hydrograph'!J683,'Step 2 Inflow Hydrograph'!K683)))</f>
        <v>0</v>
      </c>
      <c r="C639" s="127"/>
      <c r="D639" s="6">
        <f t="shared" si="45"/>
        <v>0</v>
      </c>
      <c r="E639" s="6"/>
      <c r="F639" s="6">
        <f t="shared" si="49"/>
        <v>0</v>
      </c>
      <c r="G639" s="149">
        <f>INDEX('Step 4 Stage Discharge'!E$26:F$126,MATCH(F639,'Step 4 Stage Discharge'!E$26:E$126,1),2)+(INDEX('Step 4 Stage Discharge'!E$26:F$126,MATCH(F639,'Step 4 Stage Discharge'!E$26:E$126,1)+1,2)-INDEX('Step 4 Stage Discharge'!E$26:F$126,MATCH(F639,'Step 4 Stage Discharge'!E$26:E$126,1),2))*(F639-INDEX('Step 4 Stage Discharge'!E$26:F$126,MATCH(F639,'Step 4 Stage Discharge'!E$26:E$126,1),1))/(INDEX('Step 4 Stage Discharge'!E$26:F$126,MATCH(F639,'Step 4 Stage Discharge'!E$26:E$126,1)+1,1)-INDEX('Step 4 Stage Discharge'!E$26:F$126,MATCH(F639,'Step 4 Stage Discharge'!E$26:E$126,1),1))</f>
        <v>0</v>
      </c>
      <c r="H639" s="149"/>
      <c r="I639" s="149">
        <f>INDEX('Step 4 Stage Discharge'!E$26:M$126,MATCH(F639,'Step 4 Stage Discharge'!E$26:E$126,1),9)+(INDEX('Step 4 Stage Discharge'!E$26:M$126,MATCH('Step 5 Routing'!F639,'Step 4 Stage Discharge'!E$26:E$126,1)+1,9)-INDEX('Step 4 Stage Discharge'!E$26:M$126,MATCH('Step 5 Routing'!F639,'Step 4 Stage Discharge'!E$26:E$126,1),9))*('Step 5 Routing'!F639-INDEX('Step 4 Stage Discharge'!E$26:M$126,MATCH('Step 5 Routing'!F639,'Step 4 Stage Discharge'!E$26:E$126,1),1))/(INDEX('Step 4 Stage Discharge'!E$26:M$126,MATCH('Step 5 Routing'!F639,'Step 4 Stage Discharge'!E$26:E$126,1)+1,1)-INDEX('Step 4 Stage Discharge'!E$26:M$126,MATCH('Step 5 Routing'!F639,'Step 4 Stage Discharge'!E$26:E$126,1),1))</f>
        <v>4.3639431710317386E-3</v>
      </c>
      <c r="J639" s="149"/>
      <c r="K639" s="6">
        <f t="shared" si="46"/>
        <v>0</v>
      </c>
      <c r="L639" s="6">
        <f t="shared" si="47"/>
        <v>0</v>
      </c>
    </row>
    <row r="640" spans="1:12">
      <c r="A640">
        <f t="shared" si="48"/>
        <v>627</v>
      </c>
      <c r="B640" s="136">
        <f>IF(C$5=Data!D$3,'Step 2 Inflow Hydrograph'!H684,IF(C$5=Data!D$4,'Step 2 Inflow Hydrograph'!I684,IF(C$5=Data!D$5,'Step 2 Inflow Hydrograph'!J684,'Step 2 Inflow Hydrograph'!K684)))</f>
        <v>0</v>
      </c>
      <c r="C640" s="127"/>
      <c r="D640" s="6">
        <f t="shared" si="45"/>
        <v>0</v>
      </c>
      <c r="E640" s="6"/>
      <c r="F640" s="6">
        <f t="shared" si="49"/>
        <v>0</v>
      </c>
      <c r="G640" s="149">
        <f>INDEX('Step 4 Stage Discharge'!E$26:F$126,MATCH(F640,'Step 4 Stage Discharge'!E$26:E$126,1),2)+(INDEX('Step 4 Stage Discharge'!E$26:F$126,MATCH(F640,'Step 4 Stage Discharge'!E$26:E$126,1)+1,2)-INDEX('Step 4 Stage Discharge'!E$26:F$126,MATCH(F640,'Step 4 Stage Discharge'!E$26:E$126,1),2))*(F640-INDEX('Step 4 Stage Discharge'!E$26:F$126,MATCH(F640,'Step 4 Stage Discharge'!E$26:E$126,1),1))/(INDEX('Step 4 Stage Discharge'!E$26:F$126,MATCH(F640,'Step 4 Stage Discharge'!E$26:E$126,1)+1,1)-INDEX('Step 4 Stage Discharge'!E$26:F$126,MATCH(F640,'Step 4 Stage Discharge'!E$26:E$126,1),1))</f>
        <v>0</v>
      </c>
      <c r="H640" s="149"/>
      <c r="I640" s="149">
        <f>INDEX('Step 4 Stage Discharge'!E$26:M$126,MATCH(F640,'Step 4 Stage Discharge'!E$26:E$126,1),9)+(INDEX('Step 4 Stage Discharge'!E$26:M$126,MATCH('Step 5 Routing'!F640,'Step 4 Stage Discharge'!E$26:E$126,1)+1,9)-INDEX('Step 4 Stage Discharge'!E$26:M$126,MATCH('Step 5 Routing'!F640,'Step 4 Stage Discharge'!E$26:E$126,1),9))*('Step 5 Routing'!F640-INDEX('Step 4 Stage Discharge'!E$26:M$126,MATCH('Step 5 Routing'!F640,'Step 4 Stage Discharge'!E$26:E$126,1),1))/(INDEX('Step 4 Stage Discharge'!E$26:M$126,MATCH('Step 5 Routing'!F640,'Step 4 Stage Discharge'!E$26:E$126,1)+1,1)-INDEX('Step 4 Stage Discharge'!E$26:M$126,MATCH('Step 5 Routing'!F640,'Step 4 Stage Discharge'!E$26:E$126,1),1))</f>
        <v>4.3639431710317386E-3</v>
      </c>
      <c r="J640" s="149"/>
      <c r="K640" s="6">
        <f t="shared" si="46"/>
        <v>0</v>
      </c>
      <c r="L640" s="6">
        <f t="shared" si="47"/>
        <v>0</v>
      </c>
    </row>
    <row r="641" spans="1:12">
      <c r="A641">
        <f t="shared" si="48"/>
        <v>628</v>
      </c>
      <c r="B641" s="136">
        <f>IF(C$5=Data!D$3,'Step 2 Inflow Hydrograph'!H685,IF(C$5=Data!D$4,'Step 2 Inflow Hydrograph'!I685,IF(C$5=Data!D$5,'Step 2 Inflow Hydrograph'!J685,'Step 2 Inflow Hydrograph'!K685)))</f>
        <v>0</v>
      </c>
      <c r="C641" s="127"/>
      <c r="D641" s="6">
        <f t="shared" si="45"/>
        <v>0</v>
      </c>
      <c r="E641" s="6"/>
      <c r="F641" s="6">
        <f t="shared" si="49"/>
        <v>0</v>
      </c>
      <c r="G641" s="149">
        <f>INDEX('Step 4 Stage Discharge'!E$26:F$126,MATCH(F641,'Step 4 Stage Discharge'!E$26:E$126,1),2)+(INDEX('Step 4 Stage Discharge'!E$26:F$126,MATCH(F641,'Step 4 Stage Discharge'!E$26:E$126,1)+1,2)-INDEX('Step 4 Stage Discharge'!E$26:F$126,MATCH(F641,'Step 4 Stage Discharge'!E$26:E$126,1),2))*(F641-INDEX('Step 4 Stage Discharge'!E$26:F$126,MATCH(F641,'Step 4 Stage Discharge'!E$26:E$126,1),1))/(INDEX('Step 4 Stage Discharge'!E$26:F$126,MATCH(F641,'Step 4 Stage Discharge'!E$26:E$126,1)+1,1)-INDEX('Step 4 Stage Discharge'!E$26:F$126,MATCH(F641,'Step 4 Stage Discharge'!E$26:E$126,1),1))</f>
        <v>0</v>
      </c>
      <c r="H641" s="149"/>
      <c r="I641" s="149">
        <f>INDEX('Step 4 Stage Discharge'!E$26:M$126,MATCH(F641,'Step 4 Stage Discharge'!E$26:E$126,1),9)+(INDEX('Step 4 Stage Discharge'!E$26:M$126,MATCH('Step 5 Routing'!F641,'Step 4 Stage Discharge'!E$26:E$126,1)+1,9)-INDEX('Step 4 Stage Discharge'!E$26:M$126,MATCH('Step 5 Routing'!F641,'Step 4 Stage Discharge'!E$26:E$126,1),9))*('Step 5 Routing'!F641-INDEX('Step 4 Stage Discharge'!E$26:M$126,MATCH('Step 5 Routing'!F641,'Step 4 Stage Discharge'!E$26:E$126,1),1))/(INDEX('Step 4 Stage Discharge'!E$26:M$126,MATCH('Step 5 Routing'!F641,'Step 4 Stage Discharge'!E$26:E$126,1)+1,1)-INDEX('Step 4 Stage Discharge'!E$26:M$126,MATCH('Step 5 Routing'!F641,'Step 4 Stage Discharge'!E$26:E$126,1),1))</f>
        <v>4.3639431710317386E-3</v>
      </c>
      <c r="J641" s="149"/>
      <c r="K641" s="6">
        <f t="shared" si="46"/>
        <v>0</v>
      </c>
      <c r="L641" s="6">
        <f t="shared" si="47"/>
        <v>0</v>
      </c>
    </row>
    <row r="642" spans="1:12">
      <c r="A642">
        <f t="shared" si="48"/>
        <v>629</v>
      </c>
      <c r="B642" s="136">
        <f>IF(C$5=Data!D$3,'Step 2 Inflow Hydrograph'!H686,IF(C$5=Data!D$4,'Step 2 Inflow Hydrograph'!I686,IF(C$5=Data!D$5,'Step 2 Inflow Hydrograph'!J686,'Step 2 Inflow Hydrograph'!K686)))</f>
        <v>0</v>
      </c>
      <c r="C642" s="127"/>
      <c r="D642" s="6">
        <f t="shared" si="45"/>
        <v>0</v>
      </c>
      <c r="E642" s="6"/>
      <c r="F642" s="6">
        <f t="shared" si="49"/>
        <v>0</v>
      </c>
      <c r="G642" s="149">
        <f>INDEX('Step 4 Stage Discharge'!E$26:F$126,MATCH(F642,'Step 4 Stage Discharge'!E$26:E$126,1),2)+(INDEX('Step 4 Stage Discharge'!E$26:F$126,MATCH(F642,'Step 4 Stage Discharge'!E$26:E$126,1)+1,2)-INDEX('Step 4 Stage Discharge'!E$26:F$126,MATCH(F642,'Step 4 Stage Discharge'!E$26:E$126,1),2))*(F642-INDEX('Step 4 Stage Discharge'!E$26:F$126,MATCH(F642,'Step 4 Stage Discharge'!E$26:E$126,1),1))/(INDEX('Step 4 Stage Discharge'!E$26:F$126,MATCH(F642,'Step 4 Stage Discharge'!E$26:E$126,1)+1,1)-INDEX('Step 4 Stage Discharge'!E$26:F$126,MATCH(F642,'Step 4 Stage Discharge'!E$26:E$126,1),1))</f>
        <v>0</v>
      </c>
      <c r="H642" s="149"/>
      <c r="I642" s="149">
        <f>INDEX('Step 4 Stage Discharge'!E$26:M$126,MATCH(F642,'Step 4 Stage Discharge'!E$26:E$126,1),9)+(INDEX('Step 4 Stage Discharge'!E$26:M$126,MATCH('Step 5 Routing'!F642,'Step 4 Stage Discharge'!E$26:E$126,1)+1,9)-INDEX('Step 4 Stage Discharge'!E$26:M$126,MATCH('Step 5 Routing'!F642,'Step 4 Stage Discharge'!E$26:E$126,1),9))*('Step 5 Routing'!F642-INDEX('Step 4 Stage Discharge'!E$26:M$126,MATCH('Step 5 Routing'!F642,'Step 4 Stage Discharge'!E$26:E$126,1),1))/(INDEX('Step 4 Stage Discharge'!E$26:M$126,MATCH('Step 5 Routing'!F642,'Step 4 Stage Discharge'!E$26:E$126,1)+1,1)-INDEX('Step 4 Stage Discharge'!E$26:M$126,MATCH('Step 5 Routing'!F642,'Step 4 Stage Discharge'!E$26:E$126,1),1))</f>
        <v>4.3639431710317386E-3</v>
      </c>
      <c r="J642" s="149"/>
      <c r="K642" s="6">
        <f t="shared" si="46"/>
        <v>0</v>
      </c>
      <c r="L642" s="6">
        <f t="shared" si="47"/>
        <v>0</v>
      </c>
    </row>
    <row r="643" spans="1:12">
      <c r="A643">
        <f t="shared" si="48"/>
        <v>630</v>
      </c>
      <c r="B643" s="136">
        <f>IF(C$5=Data!D$3,'Step 2 Inflow Hydrograph'!H687,IF(C$5=Data!D$4,'Step 2 Inflow Hydrograph'!I687,IF(C$5=Data!D$5,'Step 2 Inflow Hydrograph'!J687,'Step 2 Inflow Hydrograph'!K687)))</f>
        <v>0</v>
      </c>
      <c r="C643" s="127"/>
      <c r="D643" s="6">
        <f t="shared" si="45"/>
        <v>0</v>
      </c>
      <c r="E643" s="6"/>
      <c r="F643" s="6">
        <f t="shared" si="49"/>
        <v>0</v>
      </c>
      <c r="G643" s="149">
        <f>INDEX('Step 4 Stage Discharge'!E$26:F$126,MATCH(F643,'Step 4 Stage Discharge'!E$26:E$126,1),2)+(INDEX('Step 4 Stage Discharge'!E$26:F$126,MATCH(F643,'Step 4 Stage Discharge'!E$26:E$126,1)+1,2)-INDEX('Step 4 Stage Discharge'!E$26:F$126,MATCH(F643,'Step 4 Stage Discharge'!E$26:E$126,1),2))*(F643-INDEX('Step 4 Stage Discharge'!E$26:F$126,MATCH(F643,'Step 4 Stage Discharge'!E$26:E$126,1),1))/(INDEX('Step 4 Stage Discharge'!E$26:F$126,MATCH(F643,'Step 4 Stage Discharge'!E$26:E$126,1)+1,1)-INDEX('Step 4 Stage Discharge'!E$26:F$126,MATCH(F643,'Step 4 Stage Discharge'!E$26:E$126,1),1))</f>
        <v>0</v>
      </c>
      <c r="H643" s="149"/>
      <c r="I643" s="149">
        <f>INDEX('Step 4 Stage Discharge'!E$26:M$126,MATCH(F643,'Step 4 Stage Discharge'!E$26:E$126,1),9)+(INDEX('Step 4 Stage Discharge'!E$26:M$126,MATCH('Step 5 Routing'!F643,'Step 4 Stage Discharge'!E$26:E$126,1)+1,9)-INDEX('Step 4 Stage Discharge'!E$26:M$126,MATCH('Step 5 Routing'!F643,'Step 4 Stage Discharge'!E$26:E$126,1),9))*('Step 5 Routing'!F643-INDEX('Step 4 Stage Discharge'!E$26:M$126,MATCH('Step 5 Routing'!F643,'Step 4 Stage Discharge'!E$26:E$126,1),1))/(INDEX('Step 4 Stage Discharge'!E$26:M$126,MATCH('Step 5 Routing'!F643,'Step 4 Stage Discharge'!E$26:E$126,1)+1,1)-INDEX('Step 4 Stage Discharge'!E$26:M$126,MATCH('Step 5 Routing'!F643,'Step 4 Stage Discharge'!E$26:E$126,1),1))</f>
        <v>4.3639431710317386E-3</v>
      </c>
      <c r="J643" s="149"/>
      <c r="K643" s="6">
        <f t="shared" si="46"/>
        <v>0</v>
      </c>
      <c r="L643" s="6">
        <f t="shared" si="47"/>
        <v>0</v>
      </c>
    </row>
    <row r="644" spans="1:12">
      <c r="A644">
        <f t="shared" si="48"/>
        <v>631</v>
      </c>
      <c r="B644" s="136">
        <f>IF(C$5=Data!D$3,'Step 2 Inflow Hydrograph'!H688,IF(C$5=Data!D$4,'Step 2 Inflow Hydrograph'!I688,IF(C$5=Data!D$5,'Step 2 Inflow Hydrograph'!J688,'Step 2 Inflow Hydrograph'!K688)))</f>
        <v>0</v>
      </c>
      <c r="C644" s="127"/>
      <c r="D644" s="6">
        <f t="shared" si="45"/>
        <v>0</v>
      </c>
      <c r="E644" s="6"/>
      <c r="F644" s="6">
        <f t="shared" si="49"/>
        <v>0</v>
      </c>
      <c r="G644" s="149">
        <f>INDEX('Step 4 Stage Discharge'!E$26:F$126,MATCH(F644,'Step 4 Stage Discharge'!E$26:E$126,1),2)+(INDEX('Step 4 Stage Discharge'!E$26:F$126,MATCH(F644,'Step 4 Stage Discharge'!E$26:E$126,1)+1,2)-INDEX('Step 4 Stage Discharge'!E$26:F$126,MATCH(F644,'Step 4 Stage Discharge'!E$26:E$126,1),2))*(F644-INDEX('Step 4 Stage Discharge'!E$26:F$126,MATCH(F644,'Step 4 Stage Discharge'!E$26:E$126,1),1))/(INDEX('Step 4 Stage Discharge'!E$26:F$126,MATCH(F644,'Step 4 Stage Discharge'!E$26:E$126,1)+1,1)-INDEX('Step 4 Stage Discharge'!E$26:F$126,MATCH(F644,'Step 4 Stage Discharge'!E$26:E$126,1),1))</f>
        <v>0</v>
      </c>
      <c r="H644" s="149"/>
      <c r="I644" s="149">
        <f>INDEX('Step 4 Stage Discharge'!E$26:M$126,MATCH(F644,'Step 4 Stage Discharge'!E$26:E$126,1),9)+(INDEX('Step 4 Stage Discharge'!E$26:M$126,MATCH('Step 5 Routing'!F644,'Step 4 Stage Discharge'!E$26:E$126,1)+1,9)-INDEX('Step 4 Stage Discharge'!E$26:M$126,MATCH('Step 5 Routing'!F644,'Step 4 Stage Discharge'!E$26:E$126,1),9))*('Step 5 Routing'!F644-INDEX('Step 4 Stage Discharge'!E$26:M$126,MATCH('Step 5 Routing'!F644,'Step 4 Stage Discharge'!E$26:E$126,1),1))/(INDEX('Step 4 Stage Discharge'!E$26:M$126,MATCH('Step 5 Routing'!F644,'Step 4 Stage Discharge'!E$26:E$126,1)+1,1)-INDEX('Step 4 Stage Discharge'!E$26:M$126,MATCH('Step 5 Routing'!F644,'Step 4 Stage Discharge'!E$26:E$126,1),1))</f>
        <v>4.3639431710317386E-3</v>
      </c>
      <c r="J644" s="149"/>
      <c r="K644" s="6">
        <f t="shared" si="46"/>
        <v>0</v>
      </c>
      <c r="L644" s="6">
        <f t="shared" si="47"/>
        <v>0</v>
      </c>
    </row>
    <row r="645" spans="1:12">
      <c r="A645">
        <f t="shared" si="48"/>
        <v>632</v>
      </c>
      <c r="B645" s="136">
        <f>IF(C$5=Data!D$3,'Step 2 Inflow Hydrograph'!H689,IF(C$5=Data!D$4,'Step 2 Inflow Hydrograph'!I689,IF(C$5=Data!D$5,'Step 2 Inflow Hydrograph'!J689,'Step 2 Inflow Hydrograph'!K689)))</f>
        <v>0</v>
      </c>
      <c r="C645" s="127"/>
      <c r="D645" s="6">
        <f t="shared" si="45"/>
        <v>0</v>
      </c>
      <c r="E645" s="6"/>
      <c r="F645" s="6">
        <f t="shared" si="49"/>
        <v>0</v>
      </c>
      <c r="G645" s="149">
        <f>INDEX('Step 4 Stage Discharge'!E$26:F$126,MATCH(F645,'Step 4 Stage Discharge'!E$26:E$126,1),2)+(INDEX('Step 4 Stage Discharge'!E$26:F$126,MATCH(F645,'Step 4 Stage Discharge'!E$26:E$126,1)+1,2)-INDEX('Step 4 Stage Discharge'!E$26:F$126,MATCH(F645,'Step 4 Stage Discharge'!E$26:E$126,1),2))*(F645-INDEX('Step 4 Stage Discharge'!E$26:F$126,MATCH(F645,'Step 4 Stage Discharge'!E$26:E$126,1),1))/(INDEX('Step 4 Stage Discharge'!E$26:F$126,MATCH(F645,'Step 4 Stage Discharge'!E$26:E$126,1)+1,1)-INDEX('Step 4 Stage Discharge'!E$26:F$126,MATCH(F645,'Step 4 Stage Discharge'!E$26:E$126,1),1))</f>
        <v>0</v>
      </c>
      <c r="H645" s="149"/>
      <c r="I645" s="149">
        <f>INDEX('Step 4 Stage Discharge'!E$26:M$126,MATCH(F645,'Step 4 Stage Discharge'!E$26:E$126,1),9)+(INDEX('Step 4 Stage Discharge'!E$26:M$126,MATCH('Step 5 Routing'!F645,'Step 4 Stage Discharge'!E$26:E$126,1)+1,9)-INDEX('Step 4 Stage Discharge'!E$26:M$126,MATCH('Step 5 Routing'!F645,'Step 4 Stage Discharge'!E$26:E$126,1),9))*('Step 5 Routing'!F645-INDEX('Step 4 Stage Discharge'!E$26:M$126,MATCH('Step 5 Routing'!F645,'Step 4 Stage Discharge'!E$26:E$126,1),1))/(INDEX('Step 4 Stage Discharge'!E$26:M$126,MATCH('Step 5 Routing'!F645,'Step 4 Stage Discharge'!E$26:E$126,1)+1,1)-INDEX('Step 4 Stage Discharge'!E$26:M$126,MATCH('Step 5 Routing'!F645,'Step 4 Stage Discharge'!E$26:E$126,1),1))</f>
        <v>4.3639431710317386E-3</v>
      </c>
      <c r="J645" s="149"/>
      <c r="K645" s="6">
        <f t="shared" si="46"/>
        <v>0</v>
      </c>
      <c r="L645" s="6">
        <f t="shared" si="47"/>
        <v>0</v>
      </c>
    </row>
    <row r="646" spans="1:12">
      <c r="A646">
        <f t="shared" si="48"/>
        <v>633</v>
      </c>
      <c r="B646" s="136">
        <f>IF(C$5=Data!D$3,'Step 2 Inflow Hydrograph'!H690,IF(C$5=Data!D$4,'Step 2 Inflow Hydrograph'!I690,IF(C$5=Data!D$5,'Step 2 Inflow Hydrograph'!J690,'Step 2 Inflow Hydrograph'!K690)))</f>
        <v>0</v>
      </c>
      <c r="C646" s="127"/>
      <c r="D646" s="6">
        <f t="shared" si="45"/>
        <v>0</v>
      </c>
      <c r="E646" s="6"/>
      <c r="F646" s="6">
        <f t="shared" si="49"/>
        <v>0</v>
      </c>
      <c r="G646" s="149">
        <f>INDEX('Step 4 Stage Discharge'!E$26:F$126,MATCH(F646,'Step 4 Stage Discharge'!E$26:E$126,1),2)+(INDEX('Step 4 Stage Discharge'!E$26:F$126,MATCH(F646,'Step 4 Stage Discharge'!E$26:E$126,1)+1,2)-INDEX('Step 4 Stage Discharge'!E$26:F$126,MATCH(F646,'Step 4 Stage Discharge'!E$26:E$126,1),2))*(F646-INDEX('Step 4 Stage Discharge'!E$26:F$126,MATCH(F646,'Step 4 Stage Discharge'!E$26:E$126,1),1))/(INDEX('Step 4 Stage Discharge'!E$26:F$126,MATCH(F646,'Step 4 Stage Discharge'!E$26:E$126,1)+1,1)-INDEX('Step 4 Stage Discharge'!E$26:F$126,MATCH(F646,'Step 4 Stage Discharge'!E$26:E$126,1),1))</f>
        <v>0</v>
      </c>
      <c r="H646" s="149"/>
      <c r="I646" s="149">
        <f>INDEX('Step 4 Stage Discharge'!E$26:M$126,MATCH(F646,'Step 4 Stage Discharge'!E$26:E$126,1),9)+(INDEX('Step 4 Stage Discharge'!E$26:M$126,MATCH('Step 5 Routing'!F646,'Step 4 Stage Discharge'!E$26:E$126,1)+1,9)-INDEX('Step 4 Stage Discharge'!E$26:M$126,MATCH('Step 5 Routing'!F646,'Step 4 Stage Discharge'!E$26:E$126,1),9))*('Step 5 Routing'!F646-INDEX('Step 4 Stage Discharge'!E$26:M$126,MATCH('Step 5 Routing'!F646,'Step 4 Stage Discharge'!E$26:E$126,1),1))/(INDEX('Step 4 Stage Discharge'!E$26:M$126,MATCH('Step 5 Routing'!F646,'Step 4 Stage Discharge'!E$26:E$126,1)+1,1)-INDEX('Step 4 Stage Discharge'!E$26:M$126,MATCH('Step 5 Routing'!F646,'Step 4 Stage Discharge'!E$26:E$126,1),1))</f>
        <v>4.3639431710317386E-3</v>
      </c>
      <c r="J646" s="149"/>
      <c r="K646" s="6">
        <f t="shared" si="46"/>
        <v>0</v>
      </c>
      <c r="L646" s="6">
        <f t="shared" si="47"/>
        <v>0</v>
      </c>
    </row>
    <row r="647" spans="1:12">
      <c r="A647">
        <f t="shared" si="48"/>
        <v>634</v>
      </c>
      <c r="B647" s="136">
        <f>IF(C$5=Data!D$3,'Step 2 Inflow Hydrograph'!H691,IF(C$5=Data!D$4,'Step 2 Inflow Hydrograph'!I691,IF(C$5=Data!D$5,'Step 2 Inflow Hydrograph'!J691,'Step 2 Inflow Hydrograph'!K691)))</f>
        <v>0</v>
      </c>
      <c r="C647" s="127"/>
      <c r="D647" s="6">
        <f t="shared" si="45"/>
        <v>0</v>
      </c>
      <c r="E647" s="6"/>
      <c r="F647" s="6">
        <f t="shared" si="49"/>
        <v>0</v>
      </c>
      <c r="G647" s="149">
        <f>INDEX('Step 4 Stage Discharge'!E$26:F$126,MATCH(F647,'Step 4 Stage Discharge'!E$26:E$126,1),2)+(INDEX('Step 4 Stage Discharge'!E$26:F$126,MATCH(F647,'Step 4 Stage Discharge'!E$26:E$126,1)+1,2)-INDEX('Step 4 Stage Discharge'!E$26:F$126,MATCH(F647,'Step 4 Stage Discharge'!E$26:E$126,1),2))*(F647-INDEX('Step 4 Stage Discharge'!E$26:F$126,MATCH(F647,'Step 4 Stage Discharge'!E$26:E$126,1),1))/(INDEX('Step 4 Stage Discharge'!E$26:F$126,MATCH(F647,'Step 4 Stage Discharge'!E$26:E$126,1)+1,1)-INDEX('Step 4 Stage Discharge'!E$26:F$126,MATCH(F647,'Step 4 Stage Discharge'!E$26:E$126,1),1))</f>
        <v>0</v>
      </c>
      <c r="H647" s="149"/>
      <c r="I647" s="149">
        <f>INDEX('Step 4 Stage Discharge'!E$26:M$126,MATCH(F647,'Step 4 Stage Discharge'!E$26:E$126,1),9)+(INDEX('Step 4 Stage Discharge'!E$26:M$126,MATCH('Step 5 Routing'!F647,'Step 4 Stage Discharge'!E$26:E$126,1)+1,9)-INDEX('Step 4 Stage Discharge'!E$26:M$126,MATCH('Step 5 Routing'!F647,'Step 4 Stage Discharge'!E$26:E$126,1),9))*('Step 5 Routing'!F647-INDEX('Step 4 Stage Discharge'!E$26:M$126,MATCH('Step 5 Routing'!F647,'Step 4 Stage Discharge'!E$26:E$126,1),1))/(INDEX('Step 4 Stage Discharge'!E$26:M$126,MATCH('Step 5 Routing'!F647,'Step 4 Stage Discharge'!E$26:E$126,1)+1,1)-INDEX('Step 4 Stage Discharge'!E$26:M$126,MATCH('Step 5 Routing'!F647,'Step 4 Stage Discharge'!E$26:E$126,1),1))</f>
        <v>4.3639431710317386E-3</v>
      </c>
      <c r="J647" s="149"/>
      <c r="K647" s="6">
        <f t="shared" si="46"/>
        <v>0</v>
      </c>
      <c r="L647" s="6">
        <f t="shared" si="47"/>
        <v>0</v>
      </c>
    </row>
    <row r="648" spans="1:12">
      <c r="A648">
        <f t="shared" si="48"/>
        <v>635</v>
      </c>
      <c r="B648" s="136">
        <f>IF(C$5=Data!D$3,'Step 2 Inflow Hydrograph'!H692,IF(C$5=Data!D$4,'Step 2 Inflow Hydrograph'!I692,IF(C$5=Data!D$5,'Step 2 Inflow Hydrograph'!J692,'Step 2 Inflow Hydrograph'!K692)))</f>
        <v>0</v>
      </c>
      <c r="C648" s="127"/>
      <c r="D648" s="6">
        <f t="shared" si="45"/>
        <v>0</v>
      </c>
      <c r="E648" s="6"/>
      <c r="F648" s="6">
        <f t="shared" si="49"/>
        <v>0</v>
      </c>
      <c r="G648" s="149">
        <f>INDEX('Step 4 Stage Discharge'!E$26:F$126,MATCH(F648,'Step 4 Stage Discharge'!E$26:E$126,1),2)+(INDEX('Step 4 Stage Discharge'!E$26:F$126,MATCH(F648,'Step 4 Stage Discharge'!E$26:E$126,1)+1,2)-INDEX('Step 4 Stage Discharge'!E$26:F$126,MATCH(F648,'Step 4 Stage Discharge'!E$26:E$126,1),2))*(F648-INDEX('Step 4 Stage Discharge'!E$26:F$126,MATCH(F648,'Step 4 Stage Discharge'!E$26:E$126,1),1))/(INDEX('Step 4 Stage Discharge'!E$26:F$126,MATCH(F648,'Step 4 Stage Discharge'!E$26:E$126,1)+1,1)-INDEX('Step 4 Stage Discharge'!E$26:F$126,MATCH(F648,'Step 4 Stage Discharge'!E$26:E$126,1),1))</f>
        <v>0</v>
      </c>
      <c r="H648" s="149"/>
      <c r="I648" s="149">
        <f>INDEX('Step 4 Stage Discharge'!E$26:M$126,MATCH(F648,'Step 4 Stage Discharge'!E$26:E$126,1),9)+(INDEX('Step 4 Stage Discharge'!E$26:M$126,MATCH('Step 5 Routing'!F648,'Step 4 Stage Discharge'!E$26:E$126,1)+1,9)-INDEX('Step 4 Stage Discharge'!E$26:M$126,MATCH('Step 5 Routing'!F648,'Step 4 Stage Discharge'!E$26:E$126,1),9))*('Step 5 Routing'!F648-INDEX('Step 4 Stage Discharge'!E$26:M$126,MATCH('Step 5 Routing'!F648,'Step 4 Stage Discharge'!E$26:E$126,1),1))/(INDEX('Step 4 Stage Discharge'!E$26:M$126,MATCH('Step 5 Routing'!F648,'Step 4 Stage Discharge'!E$26:E$126,1)+1,1)-INDEX('Step 4 Stage Discharge'!E$26:M$126,MATCH('Step 5 Routing'!F648,'Step 4 Stage Discharge'!E$26:E$126,1),1))</f>
        <v>4.3639431710317386E-3</v>
      </c>
      <c r="J648" s="149"/>
      <c r="K648" s="6">
        <f t="shared" si="46"/>
        <v>0</v>
      </c>
      <c r="L648" s="6">
        <f t="shared" si="47"/>
        <v>0</v>
      </c>
    </row>
    <row r="649" spans="1:12">
      <c r="A649">
        <f t="shared" si="48"/>
        <v>636</v>
      </c>
      <c r="B649" s="136">
        <f>IF(C$5=Data!D$3,'Step 2 Inflow Hydrograph'!H693,IF(C$5=Data!D$4,'Step 2 Inflow Hydrograph'!I693,IF(C$5=Data!D$5,'Step 2 Inflow Hydrograph'!J693,'Step 2 Inflow Hydrograph'!K693)))</f>
        <v>0</v>
      </c>
      <c r="C649" s="127"/>
      <c r="D649" s="6">
        <f t="shared" si="45"/>
        <v>0</v>
      </c>
      <c r="E649" s="6"/>
      <c r="F649" s="6">
        <f t="shared" si="49"/>
        <v>0</v>
      </c>
      <c r="G649" s="149">
        <f>INDEX('Step 4 Stage Discharge'!E$26:F$126,MATCH(F649,'Step 4 Stage Discharge'!E$26:E$126,1),2)+(INDEX('Step 4 Stage Discharge'!E$26:F$126,MATCH(F649,'Step 4 Stage Discharge'!E$26:E$126,1)+1,2)-INDEX('Step 4 Stage Discharge'!E$26:F$126,MATCH(F649,'Step 4 Stage Discharge'!E$26:E$126,1),2))*(F649-INDEX('Step 4 Stage Discharge'!E$26:F$126,MATCH(F649,'Step 4 Stage Discharge'!E$26:E$126,1),1))/(INDEX('Step 4 Stage Discharge'!E$26:F$126,MATCH(F649,'Step 4 Stage Discharge'!E$26:E$126,1)+1,1)-INDEX('Step 4 Stage Discharge'!E$26:F$126,MATCH(F649,'Step 4 Stage Discharge'!E$26:E$126,1),1))</f>
        <v>0</v>
      </c>
      <c r="H649" s="149"/>
      <c r="I649" s="149">
        <f>INDEX('Step 4 Stage Discharge'!E$26:M$126,MATCH(F649,'Step 4 Stage Discharge'!E$26:E$126,1),9)+(INDEX('Step 4 Stage Discharge'!E$26:M$126,MATCH('Step 5 Routing'!F649,'Step 4 Stage Discharge'!E$26:E$126,1)+1,9)-INDEX('Step 4 Stage Discharge'!E$26:M$126,MATCH('Step 5 Routing'!F649,'Step 4 Stage Discharge'!E$26:E$126,1),9))*('Step 5 Routing'!F649-INDEX('Step 4 Stage Discharge'!E$26:M$126,MATCH('Step 5 Routing'!F649,'Step 4 Stage Discharge'!E$26:E$126,1),1))/(INDEX('Step 4 Stage Discharge'!E$26:M$126,MATCH('Step 5 Routing'!F649,'Step 4 Stage Discharge'!E$26:E$126,1)+1,1)-INDEX('Step 4 Stage Discharge'!E$26:M$126,MATCH('Step 5 Routing'!F649,'Step 4 Stage Discharge'!E$26:E$126,1),1))</f>
        <v>4.3639431710317386E-3</v>
      </c>
      <c r="J649" s="149"/>
      <c r="K649" s="6">
        <f t="shared" si="46"/>
        <v>0</v>
      </c>
      <c r="L649" s="6">
        <f t="shared" si="47"/>
        <v>0</v>
      </c>
    </row>
    <row r="650" spans="1:12">
      <c r="A650">
        <f t="shared" si="48"/>
        <v>637</v>
      </c>
      <c r="B650" s="136">
        <f>IF(C$5=Data!D$3,'Step 2 Inflow Hydrograph'!H694,IF(C$5=Data!D$4,'Step 2 Inflow Hydrograph'!I694,IF(C$5=Data!D$5,'Step 2 Inflow Hydrograph'!J694,'Step 2 Inflow Hydrograph'!K694)))</f>
        <v>0</v>
      </c>
      <c r="C650" s="127"/>
      <c r="D650" s="6">
        <f t="shared" si="45"/>
        <v>0</v>
      </c>
      <c r="E650" s="6"/>
      <c r="F650" s="6">
        <f t="shared" si="49"/>
        <v>0</v>
      </c>
      <c r="G650" s="149">
        <f>INDEX('Step 4 Stage Discharge'!E$26:F$126,MATCH(F650,'Step 4 Stage Discharge'!E$26:E$126,1),2)+(INDEX('Step 4 Stage Discharge'!E$26:F$126,MATCH(F650,'Step 4 Stage Discharge'!E$26:E$126,1)+1,2)-INDEX('Step 4 Stage Discharge'!E$26:F$126,MATCH(F650,'Step 4 Stage Discharge'!E$26:E$126,1),2))*(F650-INDEX('Step 4 Stage Discharge'!E$26:F$126,MATCH(F650,'Step 4 Stage Discharge'!E$26:E$126,1),1))/(INDEX('Step 4 Stage Discharge'!E$26:F$126,MATCH(F650,'Step 4 Stage Discharge'!E$26:E$126,1)+1,1)-INDEX('Step 4 Stage Discharge'!E$26:F$126,MATCH(F650,'Step 4 Stage Discharge'!E$26:E$126,1),1))</f>
        <v>0</v>
      </c>
      <c r="H650" s="149"/>
      <c r="I650" s="149">
        <f>INDEX('Step 4 Stage Discharge'!E$26:M$126,MATCH(F650,'Step 4 Stage Discharge'!E$26:E$126,1),9)+(INDEX('Step 4 Stage Discharge'!E$26:M$126,MATCH('Step 5 Routing'!F650,'Step 4 Stage Discharge'!E$26:E$126,1)+1,9)-INDEX('Step 4 Stage Discharge'!E$26:M$126,MATCH('Step 5 Routing'!F650,'Step 4 Stage Discharge'!E$26:E$126,1),9))*('Step 5 Routing'!F650-INDEX('Step 4 Stage Discharge'!E$26:M$126,MATCH('Step 5 Routing'!F650,'Step 4 Stage Discharge'!E$26:E$126,1),1))/(INDEX('Step 4 Stage Discharge'!E$26:M$126,MATCH('Step 5 Routing'!F650,'Step 4 Stage Discharge'!E$26:E$126,1)+1,1)-INDEX('Step 4 Stage Discharge'!E$26:M$126,MATCH('Step 5 Routing'!F650,'Step 4 Stage Discharge'!E$26:E$126,1),1))</f>
        <v>4.3639431710317386E-3</v>
      </c>
      <c r="J650" s="149"/>
      <c r="K650" s="6">
        <f t="shared" si="46"/>
        <v>0</v>
      </c>
      <c r="L650" s="6">
        <f t="shared" si="47"/>
        <v>0</v>
      </c>
    </row>
    <row r="651" spans="1:12">
      <c r="A651">
        <f t="shared" si="48"/>
        <v>638</v>
      </c>
      <c r="B651" s="136">
        <f>IF(C$5=Data!D$3,'Step 2 Inflow Hydrograph'!H695,IF(C$5=Data!D$4,'Step 2 Inflow Hydrograph'!I695,IF(C$5=Data!D$5,'Step 2 Inflow Hydrograph'!J695,'Step 2 Inflow Hydrograph'!K695)))</f>
        <v>0</v>
      </c>
      <c r="C651" s="127"/>
      <c r="D651" s="6">
        <f t="shared" si="45"/>
        <v>0</v>
      </c>
      <c r="E651" s="6"/>
      <c r="F651" s="6">
        <f t="shared" si="49"/>
        <v>0</v>
      </c>
      <c r="G651" s="149">
        <f>INDEX('Step 4 Stage Discharge'!E$26:F$126,MATCH(F651,'Step 4 Stage Discharge'!E$26:E$126,1),2)+(INDEX('Step 4 Stage Discharge'!E$26:F$126,MATCH(F651,'Step 4 Stage Discharge'!E$26:E$126,1)+1,2)-INDEX('Step 4 Stage Discharge'!E$26:F$126,MATCH(F651,'Step 4 Stage Discharge'!E$26:E$126,1),2))*(F651-INDEX('Step 4 Stage Discharge'!E$26:F$126,MATCH(F651,'Step 4 Stage Discharge'!E$26:E$126,1),1))/(INDEX('Step 4 Stage Discharge'!E$26:F$126,MATCH(F651,'Step 4 Stage Discharge'!E$26:E$126,1)+1,1)-INDEX('Step 4 Stage Discharge'!E$26:F$126,MATCH(F651,'Step 4 Stage Discharge'!E$26:E$126,1),1))</f>
        <v>0</v>
      </c>
      <c r="H651" s="149"/>
      <c r="I651" s="149">
        <f>INDEX('Step 4 Stage Discharge'!E$26:M$126,MATCH(F651,'Step 4 Stage Discharge'!E$26:E$126,1),9)+(INDEX('Step 4 Stage Discharge'!E$26:M$126,MATCH('Step 5 Routing'!F651,'Step 4 Stage Discharge'!E$26:E$126,1)+1,9)-INDEX('Step 4 Stage Discharge'!E$26:M$126,MATCH('Step 5 Routing'!F651,'Step 4 Stage Discharge'!E$26:E$126,1),9))*('Step 5 Routing'!F651-INDEX('Step 4 Stage Discharge'!E$26:M$126,MATCH('Step 5 Routing'!F651,'Step 4 Stage Discharge'!E$26:E$126,1),1))/(INDEX('Step 4 Stage Discharge'!E$26:M$126,MATCH('Step 5 Routing'!F651,'Step 4 Stage Discharge'!E$26:E$126,1)+1,1)-INDEX('Step 4 Stage Discharge'!E$26:M$126,MATCH('Step 5 Routing'!F651,'Step 4 Stage Discharge'!E$26:E$126,1),1))</f>
        <v>4.3639431710317386E-3</v>
      </c>
      <c r="J651" s="149"/>
      <c r="K651" s="6">
        <f t="shared" si="46"/>
        <v>0</v>
      </c>
      <c r="L651" s="6">
        <f t="shared" si="47"/>
        <v>0</v>
      </c>
    </row>
    <row r="652" spans="1:12">
      <c r="A652">
        <f t="shared" si="48"/>
        <v>639</v>
      </c>
      <c r="B652" s="136">
        <f>IF(C$5=Data!D$3,'Step 2 Inflow Hydrograph'!H696,IF(C$5=Data!D$4,'Step 2 Inflow Hydrograph'!I696,IF(C$5=Data!D$5,'Step 2 Inflow Hydrograph'!J696,'Step 2 Inflow Hydrograph'!K696)))</f>
        <v>0</v>
      </c>
      <c r="C652" s="127"/>
      <c r="D652" s="6">
        <f t="shared" si="45"/>
        <v>0</v>
      </c>
      <c r="E652" s="6"/>
      <c r="F652" s="6">
        <f t="shared" si="49"/>
        <v>0</v>
      </c>
      <c r="G652" s="149">
        <f>INDEX('Step 4 Stage Discharge'!E$26:F$126,MATCH(F652,'Step 4 Stage Discharge'!E$26:E$126,1),2)+(INDEX('Step 4 Stage Discharge'!E$26:F$126,MATCH(F652,'Step 4 Stage Discharge'!E$26:E$126,1)+1,2)-INDEX('Step 4 Stage Discharge'!E$26:F$126,MATCH(F652,'Step 4 Stage Discharge'!E$26:E$126,1),2))*(F652-INDEX('Step 4 Stage Discharge'!E$26:F$126,MATCH(F652,'Step 4 Stage Discharge'!E$26:E$126,1),1))/(INDEX('Step 4 Stage Discharge'!E$26:F$126,MATCH(F652,'Step 4 Stage Discharge'!E$26:E$126,1)+1,1)-INDEX('Step 4 Stage Discharge'!E$26:F$126,MATCH(F652,'Step 4 Stage Discharge'!E$26:E$126,1),1))</f>
        <v>0</v>
      </c>
      <c r="H652" s="149"/>
      <c r="I652" s="149">
        <f>INDEX('Step 4 Stage Discharge'!E$26:M$126,MATCH(F652,'Step 4 Stage Discharge'!E$26:E$126,1),9)+(INDEX('Step 4 Stage Discharge'!E$26:M$126,MATCH('Step 5 Routing'!F652,'Step 4 Stage Discharge'!E$26:E$126,1)+1,9)-INDEX('Step 4 Stage Discharge'!E$26:M$126,MATCH('Step 5 Routing'!F652,'Step 4 Stage Discharge'!E$26:E$126,1),9))*('Step 5 Routing'!F652-INDEX('Step 4 Stage Discharge'!E$26:M$126,MATCH('Step 5 Routing'!F652,'Step 4 Stage Discharge'!E$26:E$126,1),1))/(INDEX('Step 4 Stage Discharge'!E$26:M$126,MATCH('Step 5 Routing'!F652,'Step 4 Stage Discharge'!E$26:E$126,1)+1,1)-INDEX('Step 4 Stage Discharge'!E$26:M$126,MATCH('Step 5 Routing'!F652,'Step 4 Stage Discharge'!E$26:E$126,1),1))</f>
        <v>4.3639431710317386E-3</v>
      </c>
      <c r="J652" s="149"/>
      <c r="K652" s="6">
        <f t="shared" si="46"/>
        <v>0</v>
      </c>
      <c r="L652" s="6">
        <f t="shared" si="47"/>
        <v>0</v>
      </c>
    </row>
    <row r="653" spans="1:12">
      <c r="A653">
        <f t="shared" si="48"/>
        <v>640</v>
      </c>
      <c r="B653" s="136">
        <f>IF(C$5=Data!D$3,'Step 2 Inflow Hydrograph'!H697,IF(C$5=Data!D$4,'Step 2 Inflow Hydrograph'!I697,IF(C$5=Data!D$5,'Step 2 Inflow Hydrograph'!J697,'Step 2 Inflow Hydrograph'!K697)))</f>
        <v>0</v>
      </c>
      <c r="C653" s="127"/>
      <c r="D653" s="6">
        <f t="shared" ref="D653:D716" si="50">IF(B653="",0,B653*D$8*60)</f>
        <v>0</v>
      </c>
      <c r="E653" s="6"/>
      <c r="F653" s="6">
        <f t="shared" si="49"/>
        <v>0</v>
      </c>
      <c r="G653" s="149">
        <f>INDEX('Step 4 Stage Discharge'!E$26:F$126,MATCH(F653,'Step 4 Stage Discharge'!E$26:E$126,1),2)+(INDEX('Step 4 Stage Discharge'!E$26:F$126,MATCH(F653,'Step 4 Stage Discharge'!E$26:E$126,1)+1,2)-INDEX('Step 4 Stage Discharge'!E$26:F$126,MATCH(F653,'Step 4 Stage Discharge'!E$26:E$126,1),2))*(F653-INDEX('Step 4 Stage Discharge'!E$26:F$126,MATCH(F653,'Step 4 Stage Discharge'!E$26:E$126,1),1))/(INDEX('Step 4 Stage Discharge'!E$26:F$126,MATCH(F653,'Step 4 Stage Discharge'!E$26:E$126,1)+1,1)-INDEX('Step 4 Stage Discharge'!E$26:F$126,MATCH(F653,'Step 4 Stage Discharge'!E$26:E$126,1),1))</f>
        <v>0</v>
      </c>
      <c r="H653" s="149"/>
      <c r="I653" s="149">
        <f>INDEX('Step 4 Stage Discharge'!E$26:M$126,MATCH(F653,'Step 4 Stage Discharge'!E$26:E$126,1),9)+(INDEX('Step 4 Stage Discharge'!E$26:M$126,MATCH('Step 5 Routing'!F653,'Step 4 Stage Discharge'!E$26:E$126,1)+1,9)-INDEX('Step 4 Stage Discharge'!E$26:M$126,MATCH('Step 5 Routing'!F653,'Step 4 Stage Discharge'!E$26:E$126,1),9))*('Step 5 Routing'!F653-INDEX('Step 4 Stage Discharge'!E$26:M$126,MATCH('Step 5 Routing'!F653,'Step 4 Stage Discharge'!E$26:E$126,1),1))/(INDEX('Step 4 Stage Discharge'!E$26:M$126,MATCH('Step 5 Routing'!F653,'Step 4 Stage Discharge'!E$26:E$126,1)+1,1)-INDEX('Step 4 Stage Discharge'!E$26:M$126,MATCH('Step 5 Routing'!F653,'Step 4 Stage Discharge'!E$26:E$126,1),1))</f>
        <v>4.3639431710317386E-3</v>
      </c>
      <c r="J653" s="149"/>
      <c r="K653" s="6">
        <f t="shared" ref="K653:K716" si="51">IF(I653*60*D$8&gt;F653,F653,I653*60*D$8)</f>
        <v>0</v>
      </c>
      <c r="L653" s="6">
        <f t="shared" ref="L653:L716" si="52">IF(F653-K653&lt;0,0,F653-K653)</f>
        <v>0</v>
      </c>
    </row>
    <row r="654" spans="1:12">
      <c r="A654">
        <f t="shared" ref="A654:A717" si="53">+A653+D$8</f>
        <v>641</v>
      </c>
      <c r="B654" s="136">
        <f>IF(C$5=Data!D$3,'Step 2 Inflow Hydrograph'!H698,IF(C$5=Data!D$4,'Step 2 Inflow Hydrograph'!I698,IF(C$5=Data!D$5,'Step 2 Inflow Hydrograph'!J698,'Step 2 Inflow Hydrograph'!K698)))</f>
        <v>0</v>
      </c>
      <c r="C654" s="127"/>
      <c r="D654" s="6">
        <f t="shared" si="50"/>
        <v>0</v>
      </c>
      <c r="E654" s="6"/>
      <c r="F654" s="6">
        <f t="shared" ref="F654:F717" si="54">+L653+D654</f>
        <v>0</v>
      </c>
      <c r="G654" s="149">
        <f>INDEX('Step 4 Stage Discharge'!E$26:F$126,MATCH(F654,'Step 4 Stage Discharge'!E$26:E$126,1),2)+(INDEX('Step 4 Stage Discharge'!E$26:F$126,MATCH(F654,'Step 4 Stage Discharge'!E$26:E$126,1)+1,2)-INDEX('Step 4 Stage Discharge'!E$26:F$126,MATCH(F654,'Step 4 Stage Discharge'!E$26:E$126,1),2))*(F654-INDEX('Step 4 Stage Discharge'!E$26:F$126,MATCH(F654,'Step 4 Stage Discharge'!E$26:E$126,1),1))/(INDEX('Step 4 Stage Discharge'!E$26:F$126,MATCH(F654,'Step 4 Stage Discharge'!E$26:E$126,1)+1,1)-INDEX('Step 4 Stage Discharge'!E$26:F$126,MATCH(F654,'Step 4 Stage Discharge'!E$26:E$126,1),1))</f>
        <v>0</v>
      </c>
      <c r="H654" s="149"/>
      <c r="I654" s="149">
        <f>INDEX('Step 4 Stage Discharge'!E$26:M$126,MATCH(F654,'Step 4 Stage Discharge'!E$26:E$126,1),9)+(INDEX('Step 4 Stage Discharge'!E$26:M$126,MATCH('Step 5 Routing'!F654,'Step 4 Stage Discharge'!E$26:E$126,1)+1,9)-INDEX('Step 4 Stage Discharge'!E$26:M$126,MATCH('Step 5 Routing'!F654,'Step 4 Stage Discharge'!E$26:E$126,1),9))*('Step 5 Routing'!F654-INDEX('Step 4 Stage Discharge'!E$26:M$126,MATCH('Step 5 Routing'!F654,'Step 4 Stage Discharge'!E$26:E$126,1),1))/(INDEX('Step 4 Stage Discharge'!E$26:M$126,MATCH('Step 5 Routing'!F654,'Step 4 Stage Discharge'!E$26:E$126,1)+1,1)-INDEX('Step 4 Stage Discharge'!E$26:M$126,MATCH('Step 5 Routing'!F654,'Step 4 Stage Discharge'!E$26:E$126,1),1))</f>
        <v>4.3639431710317386E-3</v>
      </c>
      <c r="J654" s="149"/>
      <c r="K654" s="6">
        <f t="shared" si="51"/>
        <v>0</v>
      </c>
      <c r="L654" s="6">
        <f t="shared" si="52"/>
        <v>0</v>
      </c>
    </row>
    <row r="655" spans="1:12">
      <c r="A655">
        <f t="shared" si="53"/>
        <v>642</v>
      </c>
      <c r="B655" s="136">
        <f>IF(C$5=Data!D$3,'Step 2 Inflow Hydrograph'!H699,IF(C$5=Data!D$4,'Step 2 Inflow Hydrograph'!I699,IF(C$5=Data!D$5,'Step 2 Inflow Hydrograph'!J699,'Step 2 Inflow Hydrograph'!K699)))</f>
        <v>0</v>
      </c>
      <c r="C655" s="127"/>
      <c r="D655" s="6">
        <f t="shared" si="50"/>
        <v>0</v>
      </c>
      <c r="E655" s="6"/>
      <c r="F655" s="6">
        <f t="shared" si="54"/>
        <v>0</v>
      </c>
      <c r="G655" s="149">
        <f>INDEX('Step 4 Stage Discharge'!E$26:F$126,MATCH(F655,'Step 4 Stage Discharge'!E$26:E$126,1),2)+(INDEX('Step 4 Stage Discharge'!E$26:F$126,MATCH(F655,'Step 4 Stage Discharge'!E$26:E$126,1)+1,2)-INDEX('Step 4 Stage Discharge'!E$26:F$126,MATCH(F655,'Step 4 Stage Discharge'!E$26:E$126,1),2))*(F655-INDEX('Step 4 Stage Discharge'!E$26:F$126,MATCH(F655,'Step 4 Stage Discharge'!E$26:E$126,1),1))/(INDEX('Step 4 Stage Discharge'!E$26:F$126,MATCH(F655,'Step 4 Stage Discharge'!E$26:E$126,1)+1,1)-INDEX('Step 4 Stage Discharge'!E$26:F$126,MATCH(F655,'Step 4 Stage Discharge'!E$26:E$126,1),1))</f>
        <v>0</v>
      </c>
      <c r="H655" s="149"/>
      <c r="I655" s="149">
        <f>INDEX('Step 4 Stage Discharge'!E$26:M$126,MATCH(F655,'Step 4 Stage Discharge'!E$26:E$126,1),9)+(INDEX('Step 4 Stage Discharge'!E$26:M$126,MATCH('Step 5 Routing'!F655,'Step 4 Stage Discharge'!E$26:E$126,1)+1,9)-INDEX('Step 4 Stage Discharge'!E$26:M$126,MATCH('Step 5 Routing'!F655,'Step 4 Stage Discharge'!E$26:E$126,1),9))*('Step 5 Routing'!F655-INDEX('Step 4 Stage Discharge'!E$26:M$126,MATCH('Step 5 Routing'!F655,'Step 4 Stage Discharge'!E$26:E$126,1),1))/(INDEX('Step 4 Stage Discharge'!E$26:M$126,MATCH('Step 5 Routing'!F655,'Step 4 Stage Discharge'!E$26:E$126,1)+1,1)-INDEX('Step 4 Stage Discharge'!E$26:M$126,MATCH('Step 5 Routing'!F655,'Step 4 Stage Discharge'!E$26:E$126,1),1))</f>
        <v>4.3639431710317386E-3</v>
      </c>
      <c r="J655" s="149"/>
      <c r="K655" s="6">
        <f t="shared" si="51"/>
        <v>0</v>
      </c>
      <c r="L655" s="6">
        <f t="shared" si="52"/>
        <v>0</v>
      </c>
    </row>
    <row r="656" spans="1:12">
      <c r="A656">
        <f t="shared" si="53"/>
        <v>643</v>
      </c>
      <c r="B656" s="136">
        <f>IF(C$5=Data!D$3,'Step 2 Inflow Hydrograph'!H700,IF(C$5=Data!D$4,'Step 2 Inflow Hydrograph'!I700,IF(C$5=Data!D$5,'Step 2 Inflow Hydrograph'!J700,'Step 2 Inflow Hydrograph'!K700)))</f>
        <v>0</v>
      </c>
      <c r="C656" s="127"/>
      <c r="D656" s="6">
        <f t="shared" si="50"/>
        <v>0</v>
      </c>
      <c r="E656" s="6"/>
      <c r="F656" s="6">
        <f t="shared" si="54"/>
        <v>0</v>
      </c>
      <c r="G656" s="149">
        <f>INDEX('Step 4 Stage Discharge'!E$26:F$126,MATCH(F656,'Step 4 Stage Discharge'!E$26:E$126,1),2)+(INDEX('Step 4 Stage Discharge'!E$26:F$126,MATCH(F656,'Step 4 Stage Discharge'!E$26:E$126,1)+1,2)-INDEX('Step 4 Stage Discharge'!E$26:F$126,MATCH(F656,'Step 4 Stage Discharge'!E$26:E$126,1),2))*(F656-INDEX('Step 4 Stage Discharge'!E$26:F$126,MATCH(F656,'Step 4 Stage Discharge'!E$26:E$126,1),1))/(INDEX('Step 4 Stage Discharge'!E$26:F$126,MATCH(F656,'Step 4 Stage Discharge'!E$26:E$126,1)+1,1)-INDEX('Step 4 Stage Discharge'!E$26:F$126,MATCH(F656,'Step 4 Stage Discharge'!E$26:E$126,1),1))</f>
        <v>0</v>
      </c>
      <c r="H656" s="149"/>
      <c r="I656" s="149">
        <f>INDEX('Step 4 Stage Discharge'!E$26:M$126,MATCH(F656,'Step 4 Stage Discharge'!E$26:E$126,1),9)+(INDEX('Step 4 Stage Discharge'!E$26:M$126,MATCH('Step 5 Routing'!F656,'Step 4 Stage Discharge'!E$26:E$126,1)+1,9)-INDEX('Step 4 Stage Discharge'!E$26:M$126,MATCH('Step 5 Routing'!F656,'Step 4 Stage Discharge'!E$26:E$126,1),9))*('Step 5 Routing'!F656-INDEX('Step 4 Stage Discharge'!E$26:M$126,MATCH('Step 5 Routing'!F656,'Step 4 Stage Discharge'!E$26:E$126,1),1))/(INDEX('Step 4 Stage Discharge'!E$26:M$126,MATCH('Step 5 Routing'!F656,'Step 4 Stage Discharge'!E$26:E$126,1)+1,1)-INDEX('Step 4 Stage Discharge'!E$26:M$126,MATCH('Step 5 Routing'!F656,'Step 4 Stage Discharge'!E$26:E$126,1),1))</f>
        <v>4.3639431710317386E-3</v>
      </c>
      <c r="J656" s="149"/>
      <c r="K656" s="6">
        <f t="shared" si="51"/>
        <v>0</v>
      </c>
      <c r="L656" s="6">
        <f t="shared" si="52"/>
        <v>0</v>
      </c>
    </row>
    <row r="657" spans="1:12">
      <c r="A657">
        <f t="shared" si="53"/>
        <v>644</v>
      </c>
      <c r="B657" s="136">
        <f>IF(C$5=Data!D$3,'Step 2 Inflow Hydrograph'!H701,IF(C$5=Data!D$4,'Step 2 Inflow Hydrograph'!I701,IF(C$5=Data!D$5,'Step 2 Inflow Hydrograph'!J701,'Step 2 Inflow Hydrograph'!K701)))</f>
        <v>0</v>
      </c>
      <c r="C657" s="127"/>
      <c r="D657" s="6">
        <f t="shared" si="50"/>
        <v>0</v>
      </c>
      <c r="E657" s="6"/>
      <c r="F657" s="6">
        <f t="shared" si="54"/>
        <v>0</v>
      </c>
      <c r="G657" s="149">
        <f>INDEX('Step 4 Stage Discharge'!E$26:F$126,MATCH(F657,'Step 4 Stage Discharge'!E$26:E$126,1),2)+(INDEX('Step 4 Stage Discharge'!E$26:F$126,MATCH(F657,'Step 4 Stage Discharge'!E$26:E$126,1)+1,2)-INDEX('Step 4 Stage Discharge'!E$26:F$126,MATCH(F657,'Step 4 Stage Discharge'!E$26:E$126,1),2))*(F657-INDEX('Step 4 Stage Discharge'!E$26:F$126,MATCH(F657,'Step 4 Stage Discharge'!E$26:E$126,1),1))/(INDEX('Step 4 Stage Discharge'!E$26:F$126,MATCH(F657,'Step 4 Stage Discharge'!E$26:E$126,1)+1,1)-INDEX('Step 4 Stage Discharge'!E$26:F$126,MATCH(F657,'Step 4 Stage Discharge'!E$26:E$126,1),1))</f>
        <v>0</v>
      </c>
      <c r="H657" s="149"/>
      <c r="I657" s="149">
        <f>INDEX('Step 4 Stage Discharge'!E$26:M$126,MATCH(F657,'Step 4 Stage Discharge'!E$26:E$126,1),9)+(INDEX('Step 4 Stage Discharge'!E$26:M$126,MATCH('Step 5 Routing'!F657,'Step 4 Stage Discharge'!E$26:E$126,1)+1,9)-INDEX('Step 4 Stage Discharge'!E$26:M$126,MATCH('Step 5 Routing'!F657,'Step 4 Stage Discharge'!E$26:E$126,1),9))*('Step 5 Routing'!F657-INDEX('Step 4 Stage Discharge'!E$26:M$126,MATCH('Step 5 Routing'!F657,'Step 4 Stage Discharge'!E$26:E$126,1),1))/(INDEX('Step 4 Stage Discharge'!E$26:M$126,MATCH('Step 5 Routing'!F657,'Step 4 Stage Discharge'!E$26:E$126,1)+1,1)-INDEX('Step 4 Stage Discharge'!E$26:M$126,MATCH('Step 5 Routing'!F657,'Step 4 Stage Discharge'!E$26:E$126,1),1))</f>
        <v>4.3639431710317386E-3</v>
      </c>
      <c r="J657" s="149"/>
      <c r="K657" s="6">
        <f t="shared" si="51"/>
        <v>0</v>
      </c>
      <c r="L657" s="6">
        <f t="shared" si="52"/>
        <v>0</v>
      </c>
    </row>
    <row r="658" spans="1:12">
      <c r="A658">
        <f t="shared" si="53"/>
        <v>645</v>
      </c>
      <c r="B658" s="136">
        <f>IF(C$5=Data!D$3,'Step 2 Inflow Hydrograph'!H702,IF(C$5=Data!D$4,'Step 2 Inflow Hydrograph'!I702,IF(C$5=Data!D$5,'Step 2 Inflow Hydrograph'!J702,'Step 2 Inflow Hydrograph'!K702)))</f>
        <v>0</v>
      </c>
      <c r="C658" s="127"/>
      <c r="D658" s="6">
        <f t="shared" si="50"/>
        <v>0</v>
      </c>
      <c r="E658" s="6"/>
      <c r="F658" s="6">
        <f t="shared" si="54"/>
        <v>0</v>
      </c>
      <c r="G658" s="149">
        <f>INDEX('Step 4 Stage Discharge'!E$26:F$126,MATCH(F658,'Step 4 Stage Discharge'!E$26:E$126,1),2)+(INDEX('Step 4 Stage Discharge'!E$26:F$126,MATCH(F658,'Step 4 Stage Discharge'!E$26:E$126,1)+1,2)-INDEX('Step 4 Stage Discharge'!E$26:F$126,MATCH(F658,'Step 4 Stage Discharge'!E$26:E$126,1),2))*(F658-INDEX('Step 4 Stage Discharge'!E$26:F$126,MATCH(F658,'Step 4 Stage Discharge'!E$26:E$126,1),1))/(INDEX('Step 4 Stage Discharge'!E$26:F$126,MATCH(F658,'Step 4 Stage Discharge'!E$26:E$126,1)+1,1)-INDEX('Step 4 Stage Discharge'!E$26:F$126,MATCH(F658,'Step 4 Stage Discharge'!E$26:E$126,1),1))</f>
        <v>0</v>
      </c>
      <c r="H658" s="149"/>
      <c r="I658" s="149">
        <f>INDEX('Step 4 Stage Discharge'!E$26:M$126,MATCH(F658,'Step 4 Stage Discharge'!E$26:E$126,1),9)+(INDEX('Step 4 Stage Discharge'!E$26:M$126,MATCH('Step 5 Routing'!F658,'Step 4 Stage Discharge'!E$26:E$126,1)+1,9)-INDEX('Step 4 Stage Discharge'!E$26:M$126,MATCH('Step 5 Routing'!F658,'Step 4 Stage Discharge'!E$26:E$126,1),9))*('Step 5 Routing'!F658-INDEX('Step 4 Stage Discharge'!E$26:M$126,MATCH('Step 5 Routing'!F658,'Step 4 Stage Discharge'!E$26:E$126,1),1))/(INDEX('Step 4 Stage Discharge'!E$26:M$126,MATCH('Step 5 Routing'!F658,'Step 4 Stage Discharge'!E$26:E$126,1)+1,1)-INDEX('Step 4 Stage Discharge'!E$26:M$126,MATCH('Step 5 Routing'!F658,'Step 4 Stage Discharge'!E$26:E$126,1),1))</f>
        <v>4.3639431710317386E-3</v>
      </c>
      <c r="J658" s="149"/>
      <c r="K658" s="6">
        <f t="shared" si="51"/>
        <v>0</v>
      </c>
      <c r="L658" s="6">
        <f t="shared" si="52"/>
        <v>0</v>
      </c>
    </row>
    <row r="659" spans="1:12">
      <c r="A659">
        <f t="shared" si="53"/>
        <v>646</v>
      </c>
      <c r="B659" s="136">
        <f>IF(C$5=Data!D$3,'Step 2 Inflow Hydrograph'!H703,IF(C$5=Data!D$4,'Step 2 Inflow Hydrograph'!I703,IF(C$5=Data!D$5,'Step 2 Inflow Hydrograph'!J703,'Step 2 Inflow Hydrograph'!K703)))</f>
        <v>0</v>
      </c>
      <c r="C659" s="127"/>
      <c r="D659" s="6">
        <f t="shared" si="50"/>
        <v>0</v>
      </c>
      <c r="E659" s="6"/>
      <c r="F659" s="6">
        <f t="shared" si="54"/>
        <v>0</v>
      </c>
      <c r="G659" s="149">
        <f>INDEX('Step 4 Stage Discharge'!E$26:F$126,MATCH(F659,'Step 4 Stage Discharge'!E$26:E$126,1),2)+(INDEX('Step 4 Stage Discharge'!E$26:F$126,MATCH(F659,'Step 4 Stage Discharge'!E$26:E$126,1)+1,2)-INDEX('Step 4 Stage Discharge'!E$26:F$126,MATCH(F659,'Step 4 Stage Discharge'!E$26:E$126,1),2))*(F659-INDEX('Step 4 Stage Discharge'!E$26:F$126,MATCH(F659,'Step 4 Stage Discharge'!E$26:E$126,1),1))/(INDEX('Step 4 Stage Discharge'!E$26:F$126,MATCH(F659,'Step 4 Stage Discharge'!E$26:E$126,1)+1,1)-INDEX('Step 4 Stage Discharge'!E$26:F$126,MATCH(F659,'Step 4 Stage Discharge'!E$26:E$126,1),1))</f>
        <v>0</v>
      </c>
      <c r="H659" s="149"/>
      <c r="I659" s="149">
        <f>INDEX('Step 4 Stage Discharge'!E$26:M$126,MATCH(F659,'Step 4 Stage Discharge'!E$26:E$126,1),9)+(INDEX('Step 4 Stage Discharge'!E$26:M$126,MATCH('Step 5 Routing'!F659,'Step 4 Stage Discharge'!E$26:E$126,1)+1,9)-INDEX('Step 4 Stage Discharge'!E$26:M$126,MATCH('Step 5 Routing'!F659,'Step 4 Stage Discharge'!E$26:E$126,1),9))*('Step 5 Routing'!F659-INDEX('Step 4 Stage Discharge'!E$26:M$126,MATCH('Step 5 Routing'!F659,'Step 4 Stage Discharge'!E$26:E$126,1),1))/(INDEX('Step 4 Stage Discharge'!E$26:M$126,MATCH('Step 5 Routing'!F659,'Step 4 Stage Discharge'!E$26:E$126,1)+1,1)-INDEX('Step 4 Stage Discharge'!E$26:M$126,MATCH('Step 5 Routing'!F659,'Step 4 Stage Discharge'!E$26:E$126,1),1))</f>
        <v>4.3639431710317386E-3</v>
      </c>
      <c r="J659" s="149"/>
      <c r="K659" s="6">
        <f t="shared" si="51"/>
        <v>0</v>
      </c>
      <c r="L659" s="6">
        <f t="shared" si="52"/>
        <v>0</v>
      </c>
    </row>
    <row r="660" spans="1:12">
      <c r="A660">
        <f t="shared" si="53"/>
        <v>647</v>
      </c>
      <c r="B660" s="136">
        <f>IF(C$5=Data!D$3,'Step 2 Inflow Hydrograph'!H704,IF(C$5=Data!D$4,'Step 2 Inflow Hydrograph'!I704,IF(C$5=Data!D$5,'Step 2 Inflow Hydrograph'!J704,'Step 2 Inflow Hydrograph'!K704)))</f>
        <v>0</v>
      </c>
      <c r="C660" s="127"/>
      <c r="D660" s="6">
        <f t="shared" si="50"/>
        <v>0</v>
      </c>
      <c r="E660" s="6"/>
      <c r="F660" s="6">
        <f t="shared" si="54"/>
        <v>0</v>
      </c>
      <c r="G660" s="149">
        <f>INDEX('Step 4 Stage Discharge'!E$26:F$126,MATCH(F660,'Step 4 Stage Discharge'!E$26:E$126,1),2)+(INDEX('Step 4 Stage Discharge'!E$26:F$126,MATCH(F660,'Step 4 Stage Discharge'!E$26:E$126,1)+1,2)-INDEX('Step 4 Stage Discharge'!E$26:F$126,MATCH(F660,'Step 4 Stage Discharge'!E$26:E$126,1),2))*(F660-INDEX('Step 4 Stage Discharge'!E$26:F$126,MATCH(F660,'Step 4 Stage Discharge'!E$26:E$126,1),1))/(INDEX('Step 4 Stage Discharge'!E$26:F$126,MATCH(F660,'Step 4 Stage Discharge'!E$26:E$126,1)+1,1)-INDEX('Step 4 Stage Discharge'!E$26:F$126,MATCH(F660,'Step 4 Stage Discharge'!E$26:E$126,1),1))</f>
        <v>0</v>
      </c>
      <c r="H660" s="149"/>
      <c r="I660" s="149">
        <f>INDEX('Step 4 Stage Discharge'!E$26:M$126,MATCH(F660,'Step 4 Stage Discharge'!E$26:E$126,1),9)+(INDEX('Step 4 Stage Discharge'!E$26:M$126,MATCH('Step 5 Routing'!F660,'Step 4 Stage Discharge'!E$26:E$126,1)+1,9)-INDEX('Step 4 Stage Discharge'!E$26:M$126,MATCH('Step 5 Routing'!F660,'Step 4 Stage Discharge'!E$26:E$126,1),9))*('Step 5 Routing'!F660-INDEX('Step 4 Stage Discharge'!E$26:M$126,MATCH('Step 5 Routing'!F660,'Step 4 Stage Discharge'!E$26:E$126,1),1))/(INDEX('Step 4 Stage Discharge'!E$26:M$126,MATCH('Step 5 Routing'!F660,'Step 4 Stage Discharge'!E$26:E$126,1)+1,1)-INDEX('Step 4 Stage Discharge'!E$26:M$126,MATCH('Step 5 Routing'!F660,'Step 4 Stage Discharge'!E$26:E$126,1),1))</f>
        <v>4.3639431710317386E-3</v>
      </c>
      <c r="J660" s="149"/>
      <c r="K660" s="6">
        <f t="shared" si="51"/>
        <v>0</v>
      </c>
      <c r="L660" s="6">
        <f t="shared" si="52"/>
        <v>0</v>
      </c>
    </row>
    <row r="661" spans="1:12">
      <c r="A661">
        <f t="shared" si="53"/>
        <v>648</v>
      </c>
      <c r="B661" s="136">
        <f>IF(C$5=Data!D$3,'Step 2 Inflow Hydrograph'!H705,IF(C$5=Data!D$4,'Step 2 Inflow Hydrograph'!I705,IF(C$5=Data!D$5,'Step 2 Inflow Hydrograph'!J705,'Step 2 Inflow Hydrograph'!K705)))</f>
        <v>0</v>
      </c>
      <c r="C661" s="127"/>
      <c r="D661" s="6">
        <f t="shared" si="50"/>
        <v>0</v>
      </c>
      <c r="E661" s="6"/>
      <c r="F661" s="6">
        <f t="shared" si="54"/>
        <v>0</v>
      </c>
      <c r="G661" s="149">
        <f>INDEX('Step 4 Stage Discharge'!E$26:F$126,MATCH(F661,'Step 4 Stage Discharge'!E$26:E$126,1),2)+(INDEX('Step 4 Stage Discharge'!E$26:F$126,MATCH(F661,'Step 4 Stage Discharge'!E$26:E$126,1)+1,2)-INDEX('Step 4 Stage Discharge'!E$26:F$126,MATCH(F661,'Step 4 Stage Discharge'!E$26:E$126,1),2))*(F661-INDEX('Step 4 Stage Discharge'!E$26:F$126,MATCH(F661,'Step 4 Stage Discharge'!E$26:E$126,1),1))/(INDEX('Step 4 Stage Discharge'!E$26:F$126,MATCH(F661,'Step 4 Stage Discharge'!E$26:E$126,1)+1,1)-INDEX('Step 4 Stage Discharge'!E$26:F$126,MATCH(F661,'Step 4 Stage Discharge'!E$26:E$126,1),1))</f>
        <v>0</v>
      </c>
      <c r="H661" s="149"/>
      <c r="I661" s="149">
        <f>INDEX('Step 4 Stage Discharge'!E$26:M$126,MATCH(F661,'Step 4 Stage Discharge'!E$26:E$126,1),9)+(INDEX('Step 4 Stage Discharge'!E$26:M$126,MATCH('Step 5 Routing'!F661,'Step 4 Stage Discharge'!E$26:E$126,1)+1,9)-INDEX('Step 4 Stage Discharge'!E$26:M$126,MATCH('Step 5 Routing'!F661,'Step 4 Stage Discharge'!E$26:E$126,1),9))*('Step 5 Routing'!F661-INDEX('Step 4 Stage Discharge'!E$26:M$126,MATCH('Step 5 Routing'!F661,'Step 4 Stage Discharge'!E$26:E$126,1),1))/(INDEX('Step 4 Stage Discharge'!E$26:M$126,MATCH('Step 5 Routing'!F661,'Step 4 Stage Discharge'!E$26:E$126,1)+1,1)-INDEX('Step 4 Stage Discharge'!E$26:M$126,MATCH('Step 5 Routing'!F661,'Step 4 Stage Discharge'!E$26:E$126,1),1))</f>
        <v>4.3639431710317386E-3</v>
      </c>
      <c r="J661" s="149"/>
      <c r="K661" s="6">
        <f t="shared" si="51"/>
        <v>0</v>
      </c>
      <c r="L661" s="6">
        <f t="shared" si="52"/>
        <v>0</v>
      </c>
    </row>
    <row r="662" spans="1:12">
      <c r="A662">
        <f t="shared" si="53"/>
        <v>649</v>
      </c>
      <c r="B662" s="136">
        <f>IF(C$5=Data!D$3,'Step 2 Inflow Hydrograph'!H706,IF(C$5=Data!D$4,'Step 2 Inflow Hydrograph'!I706,IF(C$5=Data!D$5,'Step 2 Inflow Hydrograph'!J706,'Step 2 Inflow Hydrograph'!K706)))</f>
        <v>0</v>
      </c>
      <c r="C662" s="127"/>
      <c r="D662" s="6">
        <f t="shared" si="50"/>
        <v>0</v>
      </c>
      <c r="E662" s="6"/>
      <c r="F662" s="6">
        <f t="shared" si="54"/>
        <v>0</v>
      </c>
      <c r="G662" s="149">
        <f>INDEX('Step 4 Stage Discharge'!E$26:F$126,MATCH(F662,'Step 4 Stage Discharge'!E$26:E$126,1),2)+(INDEX('Step 4 Stage Discharge'!E$26:F$126,MATCH(F662,'Step 4 Stage Discharge'!E$26:E$126,1)+1,2)-INDEX('Step 4 Stage Discharge'!E$26:F$126,MATCH(F662,'Step 4 Stage Discharge'!E$26:E$126,1),2))*(F662-INDEX('Step 4 Stage Discharge'!E$26:F$126,MATCH(F662,'Step 4 Stage Discharge'!E$26:E$126,1),1))/(INDEX('Step 4 Stage Discharge'!E$26:F$126,MATCH(F662,'Step 4 Stage Discharge'!E$26:E$126,1)+1,1)-INDEX('Step 4 Stage Discharge'!E$26:F$126,MATCH(F662,'Step 4 Stage Discharge'!E$26:E$126,1),1))</f>
        <v>0</v>
      </c>
      <c r="H662" s="149"/>
      <c r="I662" s="149">
        <f>INDEX('Step 4 Stage Discharge'!E$26:M$126,MATCH(F662,'Step 4 Stage Discharge'!E$26:E$126,1),9)+(INDEX('Step 4 Stage Discharge'!E$26:M$126,MATCH('Step 5 Routing'!F662,'Step 4 Stage Discharge'!E$26:E$126,1)+1,9)-INDEX('Step 4 Stage Discharge'!E$26:M$126,MATCH('Step 5 Routing'!F662,'Step 4 Stage Discharge'!E$26:E$126,1),9))*('Step 5 Routing'!F662-INDEX('Step 4 Stage Discharge'!E$26:M$126,MATCH('Step 5 Routing'!F662,'Step 4 Stage Discharge'!E$26:E$126,1),1))/(INDEX('Step 4 Stage Discharge'!E$26:M$126,MATCH('Step 5 Routing'!F662,'Step 4 Stage Discharge'!E$26:E$126,1)+1,1)-INDEX('Step 4 Stage Discharge'!E$26:M$126,MATCH('Step 5 Routing'!F662,'Step 4 Stage Discharge'!E$26:E$126,1),1))</f>
        <v>4.3639431710317386E-3</v>
      </c>
      <c r="J662" s="149"/>
      <c r="K662" s="6">
        <f t="shared" si="51"/>
        <v>0</v>
      </c>
      <c r="L662" s="6">
        <f t="shared" si="52"/>
        <v>0</v>
      </c>
    </row>
    <row r="663" spans="1:12">
      <c r="A663">
        <f t="shared" si="53"/>
        <v>650</v>
      </c>
      <c r="B663" s="136">
        <f>IF(C$5=Data!D$3,'Step 2 Inflow Hydrograph'!H707,IF(C$5=Data!D$4,'Step 2 Inflow Hydrograph'!I707,IF(C$5=Data!D$5,'Step 2 Inflow Hydrograph'!J707,'Step 2 Inflow Hydrograph'!K707)))</f>
        <v>0</v>
      </c>
      <c r="C663" s="127"/>
      <c r="D663" s="6">
        <f t="shared" si="50"/>
        <v>0</v>
      </c>
      <c r="E663" s="6"/>
      <c r="F663" s="6">
        <f t="shared" si="54"/>
        <v>0</v>
      </c>
      <c r="G663" s="149">
        <f>INDEX('Step 4 Stage Discharge'!E$26:F$126,MATCH(F663,'Step 4 Stage Discharge'!E$26:E$126,1),2)+(INDEX('Step 4 Stage Discharge'!E$26:F$126,MATCH(F663,'Step 4 Stage Discharge'!E$26:E$126,1)+1,2)-INDEX('Step 4 Stage Discharge'!E$26:F$126,MATCH(F663,'Step 4 Stage Discharge'!E$26:E$126,1),2))*(F663-INDEX('Step 4 Stage Discharge'!E$26:F$126,MATCH(F663,'Step 4 Stage Discharge'!E$26:E$126,1),1))/(INDEX('Step 4 Stage Discharge'!E$26:F$126,MATCH(F663,'Step 4 Stage Discharge'!E$26:E$126,1)+1,1)-INDEX('Step 4 Stage Discharge'!E$26:F$126,MATCH(F663,'Step 4 Stage Discharge'!E$26:E$126,1),1))</f>
        <v>0</v>
      </c>
      <c r="H663" s="149"/>
      <c r="I663" s="149">
        <f>INDEX('Step 4 Stage Discharge'!E$26:M$126,MATCH(F663,'Step 4 Stage Discharge'!E$26:E$126,1),9)+(INDEX('Step 4 Stage Discharge'!E$26:M$126,MATCH('Step 5 Routing'!F663,'Step 4 Stage Discharge'!E$26:E$126,1)+1,9)-INDEX('Step 4 Stage Discharge'!E$26:M$126,MATCH('Step 5 Routing'!F663,'Step 4 Stage Discharge'!E$26:E$126,1),9))*('Step 5 Routing'!F663-INDEX('Step 4 Stage Discharge'!E$26:M$126,MATCH('Step 5 Routing'!F663,'Step 4 Stage Discharge'!E$26:E$126,1),1))/(INDEX('Step 4 Stage Discharge'!E$26:M$126,MATCH('Step 5 Routing'!F663,'Step 4 Stage Discharge'!E$26:E$126,1)+1,1)-INDEX('Step 4 Stage Discharge'!E$26:M$126,MATCH('Step 5 Routing'!F663,'Step 4 Stage Discharge'!E$26:E$126,1),1))</f>
        <v>4.3639431710317386E-3</v>
      </c>
      <c r="J663" s="149"/>
      <c r="K663" s="6">
        <f t="shared" si="51"/>
        <v>0</v>
      </c>
      <c r="L663" s="6">
        <f t="shared" si="52"/>
        <v>0</v>
      </c>
    </row>
    <row r="664" spans="1:12">
      <c r="A664">
        <f t="shared" si="53"/>
        <v>651</v>
      </c>
      <c r="B664" s="136">
        <f>IF(C$5=Data!D$3,'Step 2 Inflow Hydrograph'!H708,IF(C$5=Data!D$4,'Step 2 Inflow Hydrograph'!I708,IF(C$5=Data!D$5,'Step 2 Inflow Hydrograph'!J708,'Step 2 Inflow Hydrograph'!K708)))</f>
        <v>0</v>
      </c>
      <c r="C664" s="127"/>
      <c r="D664" s="6">
        <f t="shared" si="50"/>
        <v>0</v>
      </c>
      <c r="E664" s="6"/>
      <c r="F664" s="6">
        <f t="shared" si="54"/>
        <v>0</v>
      </c>
      <c r="G664" s="149">
        <f>INDEX('Step 4 Stage Discharge'!E$26:F$126,MATCH(F664,'Step 4 Stage Discharge'!E$26:E$126,1),2)+(INDEX('Step 4 Stage Discharge'!E$26:F$126,MATCH(F664,'Step 4 Stage Discharge'!E$26:E$126,1)+1,2)-INDEX('Step 4 Stage Discharge'!E$26:F$126,MATCH(F664,'Step 4 Stage Discharge'!E$26:E$126,1),2))*(F664-INDEX('Step 4 Stage Discharge'!E$26:F$126,MATCH(F664,'Step 4 Stage Discharge'!E$26:E$126,1),1))/(INDEX('Step 4 Stage Discharge'!E$26:F$126,MATCH(F664,'Step 4 Stage Discharge'!E$26:E$126,1)+1,1)-INDEX('Step 4 Stage Discharge'!E$26:F$126,MATCH(F664,'Step 4 Stage Discharge'!E$26:E$126,1),1))</f>
        <v>0</v>
      </c>
      <c r="H664" s="149"/>
      <c r="I664" s="149">
        <f>INDEX('Step 4 Stage Discharge'!E$26:M$126,MATCH(F664,'Step 4 Stage Discharge'!E$26:E$126,1),9)+(INDEX('Step 4 Stage Discharge'!E$26:M$126,MATCH('Step 5 Routing'!F664,'Step 4 Stage Discharge'!E$26:E$126,1)+1,9)-INDEX('Step 4 Stage Discharge'!E$26:M$126,MATCH('Step 5 Routing'!F664,'Step 4 Stage Discharge'!E$26:E$126,1),9))*('Step 5 Routing'!F664-INDEX('Step 4 Stage Discharge'!E$26:M$126,MATCH('Step 5 Routing'!F664,'Step 4 Stage Discharge'!E$26:E$126,1),1))/(INDEX('Step 4 Stage Discharge'!E$26:M$126,MATCH('Step 5 Routing'!F664,'Step 4 Stage Discharge'!E$26:E$126,1)+1,1)-INDEX('Step 4 Stage Discharge'!E$26:M$126,MATCH('Step 5 Routing'!F664,'Step 4 Stage Discharge'!E$26:E$126,1),1))</f>
        <v>4.3639431710317386E-3</v>
      </c>
      <c r="J664" s="149"/>
      <c r="K664" s="6">
        <f t="shared" si="51"/>
        <v>0</v>
      </c>
      <c r="L664" s="6">
        <f t="shared" si="52"/>
        <v>0</v>
      </c>
    </row>
    <row r="665" spans="1:12">
      <c r="A665">
        <f t="shared" si="53"/>
        <v>652</v>
      </c>
      <c r="B665" s="136">
        <f>IF(C$5=Data!D$3,'Step 2 Inflow Hydrograph'!H709,IF(C$5=Data!D$4,'Step 2 Inflow Hydrograph'!I709,IF(C$5=Data!D$5,'Step 2 Inflow Hydrograph'!J709,'Step 2 Inflow Hydrograph'!K709)))</f>
        <v>0</v>
      </c>
      <c r="C665" s="127"/>
      <c r="D665" s="6">
        <f t="shared" si="50"/>
        <v>0</v>
      </c>
      <c r="E665" s="6"/>
      <c r="F665" s="6">
        <f t="shared" si="54"/>
        <v>0</v>
      </c>
      <c r="G665" s="149">
        <f>INDEX('Step 4 Stage Discharge'!E$26:F$126,MATCH(F665,'Step 4 Stage Discharge'!E$26:E$126,1),2)+(INDEX('Step 4 Stage Discharge'!E$26:F$126,MATCH(F665,'Step 4 Stage Discharge'!E$26:E$126,1)+1,2)-INDEX('Step 4 Stage Discharge'!E$26:F$126,MATCH(F665,'Step 4 Stage Discharge'!E$26:E$126,1),2))*(F665-INDEX('Step 4 Stage Discharge'!E$26:F$126,MATCH(F665,'Step 4 Stage Discharge'!E$26:E$126,1),1))/(INDEX('Step 4 Stage Discharge'!E$26:F$126,MATCH(F665,'Step 4 Stage Discharge'!E$26:E$126,1)+1,1)-INDEX('Step 4 Stage Discharge'!E$26:F$126,MATCH(F665,'Step 4 Stage Discharge'!E$26:E$126,1),1))</f>
        <v>0</v>
      </c>
      <c r="H665" s="149"/>
      <c r="I665" s="149">
        <f>INDEX('Step 4 Stage Discharge'!E$26:M$126,MATCH(F665,'Step 4 Stage Discharge'!E$26:E$126,1),9)+(INDEX('Step 4 Stage Discharge'!E$26:M$126,MATCH('Step 5 Routing'!F665,'Step 4 Stage Discharge'!E$26:E$126,1)+1,9)-INDEX('Step 4 Stage Discharge'!E$26:M$126,MATCH('Step 5 Routing'!F665,'Step 4 Stage Discharge'!E$26:E$126,1),9))*('Step 5 Routing'!F665-INDEX('Step 4 Stage Discharge'!E$26:M$126,MATCH('Step 5 Routing'!F665,'Step 4 Stage Discharge'!E$26:E$126,1),1))/(INDEX('Step 4 Stage Discharge'!E$26:M$126,MATCH('Step 5 Routing'!F665,'Step 4 Stage Discharge'!E$26:E$126,1)+1,1)-INDEX('Step 4 Stage Discharge'!E$26:M$126,MATCH('Step 5 Routing'!F665,'Step 4 Stage Discharge'!E$26:E$126,1),1))</f>
        <v>4.3639431710317386E-3</v>
      </c>
      <c r="J665" s="149"/>
      <c r="K665" s="6">
        <f t="shared" si="51"/>
        <v>0</v>
      </c>
      <c r="L665" s="6">
        <f t="shared" si="52"/>
        <v>0</v>
      </c>
    </row>
    <row r="666" spans="1:12">
      <c r="A666">
        <f t="shared" si="53"/>
        <v>653</v>
      </c>
      <c r="B666" s="136">
        <f>IF(C$5=Data!D$3,'Step 2 Inflow Hydrograph'!H710,IF(C$5=Data!D$4,'Step 2 Inflow Hydrograph'!I710,IF(C$5=Data!D$5,'Step 2 Inflow Hydrograph'!J710,'Step 2 Inflow Hydrograph'!K710)))</f>
        <v>0</v>
      </c>
      <c r="C666" s="127"/>
      <c r="D666" s="6">
        <f t="shared" si="50"/>
        <v>0</v>
      </c>
      <c r="E666" s="6"/>
      <c r="F666" s="6">
        <f t="shared" si="54"/>
        <v>0</v>
      </c>
      <c r="G666" s="149">
        <f>INDEX('Step 4 Stage Discharge'!E$26:F$126,MATCH(F666,'Step 4 Stage Discharge'!E$26:E$126,1),2)+(INDEX('Step 4 Stage Discharge'!E$26:F$126,MATCH(F666,'Step 4 Stage Discharge'!E$26:E$126,1)+1,2)-INDEX('Step 4 Stage Discharge'!E$26:F$126,MATCH(F666,'Step 4 Stage Discharge'!E$26:E$126,1),2))*(F666-INDEX('Step 4 Stage Discharge'!E$26:F$126,MATCH(F666,'Step 4 Stage Discharge'!E$26:E$126,1),1))/(INDEX('Step 4 Stage Discharge'!E$26:F$126,MATCH(F666,'Step 4 Stage Discharge'!E$26:E$126,1)+1,1)-INDEX('Step 4 Stage Discharge'!E$26:F$126,MATCH(F666,'Step 4 Stage Discharge'!E$26:E$126,1),1))</f>
        <v>0</v>
      </c>
      <c r="H666" s="149"/>
      <c r="I666" s="149">
        <f>INDEX('Step 4 Stage Discharge'!E$26:M$126,MATCH(F666,'Step 4 Stage Discharge'!E$26:E$126,1),9)+(INDEX('Step 4 Stage Discharge'!E$26:M$126,MATCH('Step 5 Routing'!F666,'Step 4 Stage Discharge'!E$26:E$126,1)+1,9)-INDEX('Step 4 Stage Discharge'!E$26:M$126,MATCH('Step 5 Routing'!F666,'Step 4 Stage Discharge'!E$26:E$126,1),9))*('Step 5 Routing'!F666-INDEX('Step 4 Stage Discharge'!E$26:M$126,MATCH('Step 5 Routing'!F666,'Step 4 Stage Discharge'!E$26:E$126,1),1))/(INDEX('Step 4 Stage Discharge'!E$26:M$126,MATCH('Step 5 Routing'!F666,'Step 4 Stage Discharge'!E$26:E$126,1)+1,1)-INDEX('Step 4 Stage Discharge'!E$26:M$126,MATCH('Step 5 Routing'!F666,'Step 4 Stage Discharge'!E$26:E$126,1),1))</f>
        <v>4.3639431710317386E-3</v>
      </c>
      <c r="J666" s="149"/>
      <c r="K666" s="6">
        <f t="shared" si="51"/>
        <v>0</v>
      </c>
      <c r="L666" s="6">
        <f t="shared" si="52"/>
        <v>0</v>
      </c>
    </row>
    <row r="667" spans="1:12">
      <c r="A667">
        <f t="shared" si="53"/>
        <v>654</v>
      </c>
      <c r="B667" s="136">
        <f>IF(C$5=Data!D$3,'Step 2 Inflow Hydrograph'!H711,IF(C$5=Data!D$4,'Step 2 Inflow Hydrograph'!I711,IF(C$5=Data!D$5,'Step 2 Inflow Hydrograph'!J711,'Step 2 Inflow Hydrograph'!K711)))</f>
        <v>0</v>
      </c>
      <c r="C667" s="127"/>
      <c r="D667" s="6">
        <f t="shared" si="50"/>
        <v>0</v>
      </c>
      <c r="E667" s="6"/>
      <c r="F667" s="6">
        <f t="shared" si="54"/>
        <v>0</v>
      </c>
      <c r="G667" s="149">
        <f>INDEX('Step 4 Stage Discharge'!E$26:F$126,MATCH(F667,'Step 4 Stage Discharge'!E$26:E$126,1),2)+(INDEX('Step 4 Stage Discharge'!E$26:F$126,MATCH(F667,'Step 4 Stage Discharge'!E$26:E$126,1)+1,2)-INDEX('Step 4 Stage Discharge'!E$26:F$126,MATCH(F667,'Step 4 Stage Discharge'!E$26:E$126,1),2))*(F667-INDEX('Step 4 Stage Discharge'!E$26:F$126,MATCH(F667,'Step 4 Stage Discharge'!E$26:E$126,1),1))/(INDEX('Step 4 Stage Discharge'!E$26:F$126,MATCH(F667,'Step 4 Stage Discharge'!E$26:E$126,1)+1,1)-INDEX('Step 4 Stage Discharge'!E$26:F$126,MATCH(F667,'Step 4 Stage Discharge'!E$26:E$126,1),1))</f>
        <v>0</v>
      </c>
      <c r="H667" s="149"/>
      <c r="I667" s="149">
        <f>INDEX('Step 4 Stage Discharge'!E$26:M$126,MATCH(F667,'Step 4 Stage Discharge'!E$26:E$126,1),9)+(INDEX('Step 4 Stage Discharge'!E$26:M$126,MATCH('Step 5 Routing'!F667,'Step 4 Stage Discharge'!E$26:E$126,1)+1,9)-INDEX('Step 4 Stage Discharge'!E$26:M$126,MATCH('Step 5 Routing'!F667,'Step 4 Stage Discharge'!E$26:E$126,1),9))*('Step 5 Routing'!F667-INDEX('Step 4 Stage Discharge'!E$26:M$126,MATCH('Step 5 Routing'!F667,'Step 4 Stage Discharge'!E$26:E$126,1),1))/(INDEX('Step 4 Stage Discharge'!E$26:M$126,MATCH('Step 5 Routing'!F667,'Step 4 Stage Discharge'!E$26:E$126,1)+1,1)-INDEX('Step 4 Stage Discharge'!E$26:M$126,MATCH('Step 5 Routing'!F667,'Step 4 Stage Discharge'!E$26:E$126,1),1))</f>
        <v>4.3639431710317386E-3</v>
      </c>
      <c r="J667" s="149"/>
      <c r="K667" s="6">
        <f t="shared" si="51"/>
        <v>0</v>
      </c>
      <c r="L667" s="6">
        <f t="shared" si="52"/>
        <v>0</v>
      </c>
    </row>
    <row r="668" spans="1:12">
      <c r="A668">
        <f t="shared" si="53"/>
        <v>655</v>
      </c>
      <c r="B668" s="136">
        <f>IF(C$5=Data!D$3,'Step 2 Inflow Hydrograph'!H712,IF(C$5=Data!D$4,'Step 2 Inflow Hydrograph'!I712,IF(C$5=Data!D$5,'Step 2 Inflow Hydrograph'!J712,'Step 2 Inflow Hydrograph'!K712)))</f>
        <v>0</v>
      </c>
      <c r="C668" s="127"/>
      <c r="D668" s="6">
        <f t="shared" si="50"/>
        <v>0</v>
      </c>
      <c r="E668" s="6"/>
      <c r="F668" s="6">
        <f t="shared" si="54"/>
        <v>0</v>
      </c>
      <c r="G668" s="149">
        <f>INDEX('Step 4 Stage Discharge'!E$26:F$126,MATCH(F668,'Step 4 Stage Discharge'!E$26:E$126,1),2)+(INDEX('Step 4 Stage Discharge'!E$26:F$126,MATCH(F668,'Step 4 Stage Discharge'!E$26:E$126,1)+1,2)-INDEX('Step 4 Stage Discharge'!E$26:F$126,MATCH(F668,'Step 4 Stage Discharge'!E$26:E$126,1),2))*(F668-INDEX('Step 4 Stage Discharge'!E$26:F$126,MATCH(F668,'Step 4 Stage Discharge'!E$26:E$126,1),1))/(INDEX('Step 4 Stage Discharge'!E$26:F$126,MATCH(F668,'Step 4 Stage Discharge'!E$26:E$126,1)+1,1)-INDEX('Step 4 Stage Discharge'!E$26:F$126,MATCH(F668,'Step 4 Stage Discharge'!E$26:E$126,1),1))</f>
        <v>0</v>
      </c>
      <c r="H668" s="149"/>
      <c r="I668" s="149">
        <f>INDEX('Step 4 Stage Discharge'!E$26:M$126,MATCH(F668,'Step 4 Stage Discharge'!E$26:E$126,1),9)+(INDEX('Step 4 Stage Discharge'!E$26:M$126,MATCH('Step 5 Routing'!F668,'Step 4 Stage Discharge'!E$26:E$126,1)+1,9)-INDEX('Step 4 Stage Discharge'!E$26:M$126,MATCH('Step 5 Routing'!F668,'Step 4 Stage Discharge'!E$26:E$126,1),9))*('Step 5 Routing'!F668-INDEX('Step 4 Stage Discharge'!E$26:M$126,MATCH('Step 5 Routing'!F668,'Step 4 Stage Discharge'!E$26:E$126,1),1))/(INDEX('Step 4 Stage Discharge'!E$26:M$126,MATCH('Step 5 Routing'!F668,'Step 4 Stage Discharge'!E$26:E$126,1)+1,1)-INDEX('Step 4 Stage Discharge'!E$26:M$126,MATCH('Step 5 Routing'!F668,'Step 4 Stage Discharge'!E$26:E$126,1),1))</f>
        <v>4.3639431710317386E-3</v>
      </c>
      <c r="J668" s="149"/>
      <c r="K668" s="6">
        <f t="shared" si="51"/>
        <v>0</v>
      </c>
      <c r="L668" s="6">
        <f t="shared" si="52"/>
        <v>0</v>
      </c>
    </row>
    <row r="669" spans="1:12">
      <c r="A669">
        <f t="shared" si="53"/>
        <v>656</v>
      </c>
      <c r="B669" s="136">
        <f>IF(C$5=Data!D$3,'Step 2 Inflow Hydrograph'!H713,IF(C$5=Data!D$4,'Step 2 Inflow Hydrograph'!I713,IF(C$5=Data!D$5,'Step 2 Inflow Hydrograph'!J713,'Step 2 Inflow Hydrograph'!K713)))</f>
        <v>0</v>
      </c>
      <c r="C669" s="127"/>
      <c r="D669" s="6">
        <f t="shared" si="50"/>
        <v>0</v>
      </c>
      <c r="E669" s="6"/>
      <c r="F669" s="6">
        <f t="shared" si="54"/>
        <v>0</v>
      </c>
      <c r="G669" s="149">
        <f>INDEX('Step 4 Stage Discharge'!E$26:F$126,MATCH(F669,'Step 4 Stage Discharge'!E$26:E$126,1),2)+(INDEX('Step 4 Stage Discharge'!E$26:F$126,MATCH(F669,'Step 4 Stage Discharge'!E$26:E$126,1)+1,2)-INDEX('Step 4 Stage Discharge'!E$26:F$126,MATCH(F669,'Step 4 Stage Discharge'!E$26:E$126,1),2))*(F669-INDEX('Step 4 Stage Discharge'!E$26:F$126,MATCH(F669,'Step 4 Stage Discharge'!E$26:E$126,1),1))/(INDEX('Step 4 Stage Discharge'!E$26:F$126,MATCH(F669,'Step 4 Stage Discharge'!E$26:E$126,1)+1,1)-INDEX('Step 4 Stage Discharge'!E$26:F$126,MATCH(F669,'Step 4 Stage Discharge'!E$26:E$126,1),1))</f>
        <v>0</v>
      </c>
      <c r="H669" s="149"/>
      <c r="I669" s="149">
        <f>INDEX('Step 4 Stage Discharge'!E$26:M$126,MATCH(F669,'Step 4 Stage Discharge'!E$26:E$126,1),9)+(INDEX('Step 4 Stage Discharge'!E$26:M$126,MATCH('Step 5 Routing'!F669,'Step 4 Stage Discharge'!E$26:E$126,1)+1,9)-INDEX('Step 4 Stage Discharge'!E$26:M$126,MATCH('Step 5 Routing'!F669,'Step 4 Stage Discharge'!E$26:E$126,1),9))*('Step 5 Routing'!F669-INDEX('Step 4 Stage Discharge'!E$26:M$126,MATCH('Step 5 Routing'!F669,'Step 4 Stage Discharge'!E$26:E$126,1),1))/(INDEX('Step 4 Stage Discharge'!E$26:M$126,MATCH('Step 5 Routing'!F669,'Step 4 Stage Discharge'!E$26:E$126,1)+1,1)-INDEX('Step 4 Stage Discharge'!E$26:M$126,MATCH('Step 5 Routing'!F669,'Step 4 Stage Discharge'!E$26:E$126,1),1))</f>
        <v>4.3639431710317386E-3</v>
      </c>
      <c r="J669" s="149"/>
      <c r="K669" s="6">
        <f t="shared" si="51"/>
        <v>0</v>
      </c>
      <c r="L669" s="6">
        <f t="shared" si="52"/>
        <v>0</v>
      </c>
    </row>
    <row r="670" spans="1:12">
      <c r="A670">
        <f t="shared" si="53"/>
        <v>657</v>
      </c>
      <c r="B670" s="136">
        <f>IF(C$5=Data!D$3,'Step 2 Inflow Hydrograph'!H714,IF(C$5=Data!D$4,'Step 2 Inflow Hydrograph'!I714,IF(C$5=Data!D$5,'Step 2 Inflow Hydrograph'!J714,'Step 2 Inflow Hydrograph'!K714)))</f>
        <v>0</v>
      </c>
      <c r="C670" s="127"/>
      <c r="D670" s="6">
        <f t="shared" si="50"/>
        <v>0</v>
      </c>
      <c r="E670" s="6"/>
      <c r="F670" s="6">
        <f t="shared" si="54"/>
        <v>0</v>
      </c>
      <c r="G670" s="149">
        <f>INDEX('Step 4 Stage Discharge'!E$26:F$126,MATCH(F670,'Step 4 Stage Discharge'!E$26:E$126,1),2)+(INDEX('Step 4 Stage Discharge'!E$26:F$126,MATCH(F670,'Step 4 Stage Discharge'!E$26:E$126,1)+1,2)-INDEX('Step 4 Stage Discharge'!E$26:F$126,MATCH(F670,'Step 4 Stage Discharge'!E$26:E$126,1),2))*(F670-INDEX('Step 4 Stage Discharge'!E$26:F$126,MATCH(F670,'Step 4 Stage Discharge'!E$26:E$126,1),1))/(INDEX('Step 4 Stage Discharge'!E$26:F$126,MATCH(F670,'Step 4 Stage Discharge'!E$26:E$126,1)+1,1)-INDEX('Step 4 Stage Discharge'!E$26:F$126,MATCH(F670,'Step 4 Stage Discharge'!E$26:E$126,1),1))</f>
        <v>0</v>
      </c>
      <c r="H670" s="149"/>
      <c r="I670" s="149">
        <f>INDEX('Step 4 Stage Discharge'!E$26:M$126,MATCH(F670,'Step 4 Stage Discharge'!E$26:E$126,1),9)+(INDEX('Step 4 Stage Discharge'!E$26:M$126,MATCH('Step 5 Routing'!F670,'Step 4 Stage Discharge'!E$26:E$126,1)+1,9)-INDEX('Step 4 Stage Discharge'!E$26:M$126,MATCH('Step 5 Routing'!F670,'Step 4 Stage Discharge'!E$26:E$126,1),9))*('Step 5 Routing'!F670-INDEX('Step 4 Stage Discharge'!E$26:M$126,MATCH('Step 5 Routing'!F670,'Step 4 Stage Discharge'!E$26:E$126,1),1))/(INDEX('Step 4 Stage Discharge'!E$26:M$126,MATCH('Step 5 Routing'!F670,'Step 4 Stage Discharge'!E$26:E$126,1)+1,1)-INDEX('Step 4 Stage Discharge'!E$26:M$126,MATCH('Step 5 Routing'!F670,'Step 4 Stage Discharge'!E$26:E$126,1),1))</f>
        <v>4.3639431710317386E-3</v>
      </c>
      <c r="J670" s="149"/>
      <c r="K670" s="6">
        <f t="shared" si="51"/>
        <v>0</v>
      </c>
      <c r="L670" s="6">
        <f t="shared" si="52"/>
        <v>0</v>
      </c>
    </row>
    <row r="671" spans="1:12">
      <c r="A671">
        <f t="shared" si="53"/>
        <v>658</v>
      </c>
      <c r="B671" s="136">
        <f>IF(C$5=Data!D$3,'Step 2 Inflow Hydrograph'!H715,IF(C$5=Data!D$4,'Step 2 Inflow Hydrograph'!I715,IF(C$5=Data!D$5,'Step 2 Inflow Hydrograph'!J715,'Step 2 Inflow Hydrograph'!K715)))</f>
        <v>0</v>
      </c>
      <c r="C671" s="127"/>
      <c r="D671" s="6">
        <f t="shared" si="50"/>
        <v>0</v>
      </c>
      <c r="E671" s="6"/>
      <c r="F671" s="6">
        <f t="shared" si="54"/>
        <v>0</v>
      </c>
      <c r="G671" s="149">
        <f>INDEX('Step 4 Stage Discharge'!E$26:F$126,MATCH(F671,'Step 4 Stage Discharge'!E$26:E$126,1),2)+(INDEX('Step 4 Stage Discharge'!E$26:F$126,MATCH(F671,'Step 4 Stage Discharge'!E$26:E$126,1)+1,2)-INDEX('Step 4 Stage Discharge'!E$26:F$126,MATCH(F671,'Step 4 Stage Discharge'!E$26:E$126,1),2))*(F671-INDEX('Step 4 Stage Discharge'!E$26:F$126,MATCH(F671,'Step 4 Stage Discharge'!E$26:E$126,1),1))/(INDEX('Step 4 Stage Discharge'!E$26:F$126,MATCH(F671,'Step 4 Stage Discharge'!E$26:E$126,1)+1,1)-INDEX('Step 4 Stage Discharge'!E$26:F$126,MATCH(F671,'Step 4 Stage Discharge'!E$26:E$126,1),1))</f>
        <v>0</v>
      </c>
      <c r="H671" s="149"/>
      <c r="I671" s="149">
        <f>INDEX('Step 4 Stage Discharge'!E$26:M$126,MATCH(F671,'Step 4 Stage Discharge'!E$26:E$126,1),9)+(INDEX('Step 4 Stage Discharge'!E$26:M$126,MATCH('Step 5 Routing'!F671,'Step 4 Stage Discharge'!E$26:E$126,1)+1,9)-INDEX('Step 4 Stage Discharge'!E$26:M$126,MATCH('Step 5 Routing'!F671,'Step 4 Stage Discharge'!E$26:E$126,1),9))*('Step 5 Routing'!F671-INDEX('Step 4 Stage Discharge'!E$26:M$126,MATCH('Step 5 Routing'!F671,'Step 4 Stage Discharge'!E$26:E$126,1),1))/(INDEX('Step 4 Stage Discharge'!E$26:M$126,MATCH('Step 5 Routing'!F671,'Step 4 Stage Discharge'!E$26:E$126,1)+1,1)-INDEX('Step 4 Stage Discharge'!E$26:M$126,MATCH('Step 5 Routing'!F671,'Step 4 Stage Discharge'!E$26:E$126,1),1))</f>
        <v>4.3639431710317386E-3</v>
      </c>
      <c r="J671" s="149"/>
      <c r="K671" s="6">
        <f t="shared" si="51"/>
        <v>0</v>
      </c>
      <c r="L671" s="6">
        <f t="shared" si="52"/>
        <v>0</v>
      </c>
    </row>
    <row r="672" spans="1:12">
      <c r="A672">
        <f t="shared" si="53"/>
        <v>659</v>
      </c>
      <c r="B672" s="136">
        <f>IF(C$5=Data!D$3,'Step 2 Inflow Hydrograph'!H716,IF(C$5=Data!D$4,'Step 2 Inflow Hydrograph'!I716,IF(C$5=Data!D$5,'Step 2 Inflow Hydrograph'!J716,'Step 2 Inflow Hydrograph'!K716)))</f>
        <v>0</v>
      </c>
      <c r="C672" s="127"/>
      <c r="D672" s="6">
        <f t="shared" si="50"/>
        <v>0</v>
      </c>
      <c r="E672" s="6"/>
      <c r="F672" s="6">
        <f t="shared" si="54"/>
        <v>0</v>
      </c>
      <c r="G672" s="149">
        <f>INDEX('Step 4 Stage Discharge'!E$26:F$126,MATCH(F672,'Step 4 Stage Discharge'!E$26:E$126,1),2)+(INDEX('Step 4 Stage Discharge'!E$26:F$126,MATCH(F672,'Step 4 Stage Discharge'!E$26:E$126,1)+1,2)-INDEX('Step 4 Stage Discharge'!E$26:F$126,MATCH(F672,'Step 4 Stage Discharge'!E$26:E$126,1),2))*(F672-INDEX('Step 4 Stage Discharge'!E$26:F$126,MATCH(F672,'Step 4 Stage Discharge'!E$26:E$126,1),1))/(INDEX('Step 4 Stage Discharge'!E$26:F$126,MATCH(F672,'Step 4 Stage Discharge'!E$26:E$126,1)+1,1)-INDEX('Step 4 Stage Discharge'!E$26:F$126,MATCH(F672,'Step 4 Stage Discharge'!E$26:E$126,1),1))</f>
        <v>0</v>
      </c>
      <c r="H672" s="149"/>
      <c r="I672" s="149">
        <f>INDEX('Step 4 Stage Discharge'!E$26:M$126,MATCH(F672,'Step 4 Stage Discharge'!E$26:E$126,1),9)+(INDEX('Step 4 Stage Discharge'!E$26:M$126,MATCH('Step 5 Routing'!F672,'Step 4 Stage Discharge'!E$26:E$126,1)+1,9)-INDEX('Step 4 Stage Discharge'!E$26:M$126,MATCH('Step 5 Routing'!F672,'Step 4 Stage Discharge'!E$26:E$126,1),9))*('Step 5 Routing'!F672-INDEX('Step 4 Stage Discharge'!E$26:M$126,MATCH('Step 5 Routing'!F672,'Step 4 Stage Discharge'!E$26:E$126,1),1))/(INDEX('Step 4 Stage Discharge'!E$26:M$126,MATCH('Step 5 Routing'!F672,'Step 4 Stage Discharge'!E$26:E$126,1)+1,1)-INDEX('Step 4 Stage Discharge'!E$26:M$126,MATCH('Step 5 Routing'!F672,'Step 4 Stage Discharge'!E$26:E$126,1),1))</f>
        <v>4.3639431710317386E-3</v>
      </c>
      <c r="J672" s="149"/>
      <c r="K672" s="6">
        <f t="shared" si="51"/>
        <v>0</v>
      </c>
      <c r="L672" s="6">
        <f t="shared" si="52"/>
        <v>0</v>
      </c>
    </row>
    <row r="673" spans="1:12">
      <c r="A673">
        <f t="shared" si="53"/>
        <v>660</v>
      </c>
      <c r="B673" s="136">
        <f>IF(C$5=Data!D$3,'Step 2 Inflow Hydrograph'!H717,IF(C$5=Data!D$4,'Step 2 Inflow Hydrograph'!I717,IF(C$5=Data!D$5,'Step 2 Inflow Hydrograph'!J717,'Step 2 Inflow Hydrograph'!K717)))</f>
        <v>0</v>
      </c>
      <c r="C673" s="127"/>
      <c r="D673" s="6">
        <f t="shared" si="50"/>
        <v>0</v>
      </c>
      <c r="E673" s="6"/>
      <c r="F673" s="6">
        <f t="shared" si="54"/>
        <v>0</v>
      </c>
      <c r="G673" s="149">
        <f>INDEX('Step 4 Stage Discharge'!E$26:F$126,MATCH(F673,'Step 4 Stage Discharge'!E$26:E$126,1),2)+(INDEX('Step 4 Stage Discharge'!E$26:F$126,MATCH(F673,'Step 4 Stage Discharge'!E$26:E$126,1)+1,2)-INDEX('Step 4 Stage Discharge'!E$26:F$126,MATCH(F673,'Step 4 Stage Discharge'!E$26:E$126,1),2))*(F673-INDEX('Step 4 Stage Discharge'!E$26:F$126,MATCH(F673,'Step 4 Stage Discharge'!E$26:E$126,1),1))/(INDEX('Step 4 Stage Discharge'!E$26:F$126,MATCH(F673,'Step 4 Stage Discharge'!E$26:E$126,1)+1,1)-INDEX('Step 4 Stage Discharge'!E$26:F$126,MATCH(F673,'Step 4 Stage Discharge'!E$26:E$126,1),1))</f>
        <v>0</v>
      </c>
      <c r="H673" s="149"/>
      <c r="I673" s="149">
        <f>INDEX('Step 4 Stage Discharge'!E$26:M$126,MATCH(F673,'Step 4 Stage Discharge'!E$26:E$126,1),9)+(INDEX('Step 4 Stage Discharge'!E$26:M$126,MATCH('Step 5 Routing'!F673,'Step 4 Stage Discharge'!E$26:E$126,1)+1,9)-INDEX('Step 4 Stage Discharge'!E$26:M$126,MATCH('Step 5 Routing'!F673,'Step 4 Stage Discharge'!E$26:E$126,1),9))*('Step 5 Routing'!F673-INDEX('Step 4 Stage Discharge'!E$26:M$126,MATCH('Step 5 Routing'!F673,'Step 4 Stage Discharge'!E$26:E$126,1),1))/(INDEX('Step 4 Stage Discharge'!E$26:M$126,MATCH('Step 5 Routing'!F673,'Step 4 Stage Discharge'!E$26:E$126,1)+1,1)-INDEX('Step 4 Stage Discharge'!E$26:M$126,MATCH('Step 5 Routing'!F673,'Step 4 Stage Discharge'!E$26:E$126,1),1))</f>
        <v>4.3639431710317386E-3</v>
      </c>
      <c r="J673" s="149"/>
      <c r="K673" s="6">
        <f t="shared" si="51"/>
        <v>0</v>
      </c>
      <c r="L673" s="6">
        <f t="shared" si="52"/>
        <v>0</v>
      </c>
    </row>
    <row r="674" spans="1:12">
      <c r="A674">
        <f t="shared" si="53"/>
        <v>661</v>
      </c>
      <c r="B674" s="136">
        <f>IF(C$5=Data!D$3,'Step 2 Inflow Hydrograph'!H718,IF(C$5=Data!D$4,'Step 2 Inflow Hydrograph'!I718,IF(C$5=Data!D$5,'Step 2 Inflow Hydrograph'!J718,'Step 2 Inflow Hydrograph'!K718)))</f>
        <v>0</v>
      </c>
      <c r="C674" s="127"/>
      <c r="D674" s="6">
        <f t="shared" si="50"/>
        <v>0</v>
      </c>
      <c r="E674" s="6"/>
      <c r="F674" s="6">
        <f t="shared" si="54"/>
        <v>0</v>
      </c>
      <c r="G674" s="149">
        <f>INDEX('Step 4 Stage Discharge'!E$26:F$126,MATCH(F674,'Step 4 Stage Discharge'!E$26:E$126,1),2)+(INDEX('Step 4 Stage Discharge'!E$26:F$126,MATCH(F674,'Step 4 Stage Discharge'!E$26:E$126,1)+1,2)-INDEX('Step 4 Stage Discharge'!E$26:F$126,MATCH(F674,'Step 4 Stage Discharge'!E$26:E$126,1),2))*(F674-INDEX('Step 4 Stage Discharge'!E$26:F$126,MATCH(F674,'Step 4 Stage Discharge'!E$26:E$126,1),1))/(INDEX('Step 4 Stage Discharge'!E$26:F$126,MATCH(F674,'Step 4 Stage Discharge'!E$26:E$126,1)+1,1)-INDEX('Step 4 Stage Discharge'!E$26:F$126,MATCH(F674,'Step 4 Stage Discharge'!E$26:E$126,1),1))</f>
        <v>0</v>
      </c>
      <c r="H674" s="149"/>
      <c r="I674" s="149">
        <f>INDEX('Step 4 Stage Discharge'!E$26:M$126,MATCH(F674,'Step 4 Stage Discharge'!E$26:E$126,1),9)+(INDEX('Step 4 Stage Discharge'!E$26:M$126,MATCH('Step 5 Routing'!F674,'Step 4 Stage Discharge'!E$26:E$126,1)+1,9)-INDEX('Step 4 Stage Discharge'!E$26:M$126,MATCH('Step 5 Routing'!F674,'Step 4 Stage Discharge'!E$26:E$126,1),9))*('Step 5 Routing'!F674-INDEX('Step 4 Stage Discharge'!E$26:M$126,MATCH('Step 5 Routing'!F674,'Step 4 Stage Discharge'!E$26:E$126,1),1))/(INDEX('Step 4 Stage Discharge'!E$26:M$126,MATCH('Step 5 Routing'!F674,'Step 4 Stage Discharge'!E$26:E$126,1)+1,1)-INDEX('Step 4 Stage Discharge'!E$26:M$126,MATCH('Step 5 Routing'!F674,'Step 4 Stage Discharge'!E$26:E$126,1),1))</f>
        <v>4.3639431710317386E-3</v>
      </c>
      <c r="J674" s="149"/>
      <c r="K674" s="6">
        <f t="shared" si="51"/>
        <v>0</v>
      </c>
      <c r="L674" s="6">
        <f t="shared" si="52"/>
        <v>0</v>
      </c>
    </row>
    <row r="675" spans="1:12">
      <c r="A675">
        <f t="shared" si="53"/>
        <v>662</v>
      </c>
      <c r="B675" s="136">
        <f>IF(C$5=Data!D$3,'Step 2 Inflow Hydrograph'!H719,IF(C$5=Data!D$4,'Step 2 Inflow Hydrograph'!I719,IF(C$5=Data!D$5,'Step 2 Inflow Hydrograph'!J719,'Step 2 Inflow Hydrograph'!K719)))</f>
        <v>0</v>
      </c>
      <c r="C675" s="127"/>
      <c r="D675" s="6">
        <f t="shared" si="50"/>
        <v>0</v>
      </c>
      <c r="E675" s="6"/>
      <c r="F675" s="6">
        <f t="shared" si="54"/>
        <v>0</v>
      </c>
      <c r="G675" s="149">
        <f>INDEX('Step 4 Stage Discharge'!E$26:F$126,MATCH(F675,'Step 4 Stage Discharge'!E$26:E$126,1),2)+(INDEX('Step 4 Stage Discharge'!E$26:F$126,MATCH(F675,'Step 4 Stage Discharge'!E$26:E$126,1)+1,2)-INDEX('Step 4 Stage Discharge'!E$26:F$126,MATCH(F675,'Step 4 Stage Discharge'!E$26:E$126,1),2))*(F675-INDEX('Step 4 Stage Discharge'!E$26:F$126,MATCH(F675,'Step 4 Stage Discharge'!E$26:E$126,1),1))/(INDEX('Step 4 Stage Discharge'!E$26:F$126,MATCH(F675,'Step 4 Stage Discharge'!E$26:E$126,1)+1,1)-INDEX('Step 4 Stage Discharge'!E$26:F$126,MATCH(F675,'Step 4 Stage Discharge'!E$26:E$126,1),1))</f>
        <v>0</v>
      </c>
      <c r="H675" s="149"/>
      <c r="I675" s="149">
        <f>INDEX('Step 4 Stage Discharge'!E$26:M$126,MATCH(F675,'Step 4 Stage Discharge'!E$26:E$126,1),9)+(INDEX('Step 4 Stage Discharge'!E$26:M$126,MATCH('Step 5 Routing'!F675,'Step 4 Stage Discharge'!E$26:E$126,1)+1,9)-INDEX('Step 4 Stage Discharge'!E$26:M$126,MATCH('Step 5 Routing'!F675,'Step 4 Stage Discharge'!E$26:E$126,1),9))*('Step 5 Routing'!F675-INDEX('Step 4 Stage Discharge'!E$26:M$126,MATCH('Step 5 Routing'!F675,'Step 4 Stage Discharge'!E$26:E$126,1),1))/(INDEX('Step 4 Stage Discharge'!E$26:M$126,MATCH('Step 5 Routing'!F675,'Step 4 Stage Discharge'!E$26:E$126,1)+1,1)-INDEX('Step 4 Stage Discharge'!E$26:M$126,MATCH('Step 5 Routing'!F675,'Step 4 Stage Discharge'!E$26:E$126,1),1))</f>
        <v>4.3639431710317386E-3</v>
      </c>
      <c r="J675" s="149"/>
      <c r="K675" s="6">
        <f t="shared" si="51"/>
        <v>0</v>
      </c>
      <c r="L675" s="6">
        <f t="shared" si="52"/>
        <v>0</v>
      </c>
    </row>
    <row r="676" spans="1:12">
      <c r="A676">
        <f t="shared" si="53"/>
        <v>663</v>
      </c>
      <c r="B676" s="136">
        <f>IF(C$5=Data!D$3,'Step 2 Inflow Hydrograph'!H720,IF(C$5=Data!D$4,'Step 2 Inflow Hydrograph'!I720,IF(C$5=Data!D$5,'Step 2 Inflow Hydrograph'!J720,'Step 2 Inflow Hydrograph'!K720)))</f>
        <v>0</v>
      </c>
      <c r="C676" s="127"/>
      <c r="D676" s="6">
        <f t="shared" si="50"/>
        <v>0</v>
      </c>
      <c r="E676" s="6"/>
      <c r="F676" s="6">
        <f t="shared" si="54"/>
        <v>0</v>
      </c>
      <c r="G676" s="149">
        <f>INDEX('Step 4 Stage Discharge'!E$26:F$126,MATCH(F676,'Step 4 Stage Discharge'!E$26:E$126,1),2)+(INDEX('Step 4 Stage Discharge'!E$26:F$126,MATCH(F676,'Step 4 Stage Discharge'!E$26:E$126,1)+1,2)-INDEX('Step 4 Stage Discharge'!E$26:F$126,MATCH(F676,'Step 4 Stage Discharge'!E$26:E$126,1),2))*(F676-INDEX('Step 4 Stage Discharge'!E$26:F$126,MATCH(F676,'Step 4 Stage Discharge'!E$26:E$126,1),1))/(INDEX('Step 4 Stage Discharge'!E$26:F$126,MATCH(F676,'Step 4 Stage Discharge'!E$26:E$126,1)+1,1)-INDEX('Step 4 Stage Discharge'!E$26:F$126,MATCH(F676,'Step 4 Stage Discharge'!E$26:E$126,1),1))</f>
        <v>0</v>
      </c>
      <c r="H676" s="149"/>
      <c r="I676" s="149">
        <f>INDEX('Step 4 Stage Discharge'!E$26:M$126,MATCH(F676,'Step 4 Stage Discharge'!E$26:E$126,1),9)+(INDEX('Step 4 Stage Discharge'!E$26:M$126,MATCH('Step 5 Routing'!F676,'Step 4 Stage Discharge'!E$26:E$126,1)+1,9)-INDEX('Step 4 Stage Discharge'!E$26:M$126,MATCH('Step 5 Routing'!F676,'Step 4 Stage Discharge'!E$26:E$126,1),9))*('Step 5 Routing'!F676-INDEX('Step 4 Stage Discharge'!E$26:M$126,MATCH('Step 5 Routing'!F676,'Step 4 Stage Discharge'!E$26:E$126,1),1))/(INDEX('Step 4 Stage Discharge'!E$26:M$126,MATCH('Step 5 Routing'!F676,'Step 4 Stage Discharge'!E$26:E$126,1)+1,1)-INDEX('Step 4 Stage Discharge'!E$26:M$126,MATCH('Step 5 Routing'!F676,'Step 4 Stage Discharge'!E$26:E$126,1),1))</f>
        <v>4.3639431710317386E-3</v>
      </c>
      <c r="J676" s="149"/>
      <c r="K676" s="6">
        <f t="shared" si="51"/>
        <v>0</v>
      </c>
      <c r="L676" s="6">
        <f t="shared" si="52"/>
        <v>0</v>
      </c>
    </row>
    <row r="677" spans="1:12">
      <c r="A677">
        <f t="shared" si="53"/>
        <v>664</v>
      </c>
      <c r="B677" s="136">
        <f>IF(C$5=Data!D$3,'Step 2 Inflow Hydrograph'!H721,IF(C$5=Data!D$4,'Step 2 Inflow Hydrograph'!I721,IF(C$5=Data!D$5,'Step 2 Inflow Hydrograph'!J721,'Step 2 Inflow Hydrograph'!K721)))</f>
        <v>0</v>
      </c>
      <c r="C677" s="127"/>
      <c r="D677" s="6">
        <f t="shared" si="50"/>
        <v>0</v>
      </c>
      <c r="E677" s="6"/>
      <c r="F677" s="6">
        <f t="shared" si="54"/>
        <v>0</v>
      </c>
      <c r="G677" s="149">
        <f>INDEX('Step 4 Stage Discharge'!E$26:F$126,MATCH(F677,'Step 4 Stage Discharge'!E$26:E$126,1),2)+(INDEX('Step 4 Stage Discharge'!E$26:F$126,MATCH(F677,'Step 4 Stage Discharge'!E$26:E$126,1)+1,2)-INDEX('Step 4 Stage Discharge'!E$26:F$126,MATCH(F677,'Step 4 Stage Discharge'!E$26:E$126,1),2))*(F677-INDEX('Step 4 Stage Discharge'!E$26:F$126,MATCH(F677,'Step 4 Stage Discharge'!E$26:E$126,1),1))/(INDEX('Step 4 Stage Discharge'!E$26:F$126,MATCH(F677,'Step 4 Stage Discharge'!E$26:E$126,1)+1,1)-INDEX('Step 4 Stage Discharge'!E$26:F$126,MATCH(F677,'Step 4 Stage Discharge'!E$26:E$126,1),1))</f>
        <v>0</v>
      </c>
      <c r="H677" s="149"/>
      <c r="I677" s="149">
        <f>INDEX('Step 4 Stage Discharge'!E$26:M$126,MATCH(F677,'Step 4 Stage Discharge'!E$26:E$126,1),9)+(INDEX('Step 4 Stage Discharge'!E$26:M$126,MATCH('Step 5 Routing'!F677,'Step 4 Stage Discharge'!E$26:E$126,1)+1,9)-INDEX('Step 4 Stage Discharge'!E$26:M$126,MATCH('Step 5 Routing'!F677,'Step 4 Stage Discharge'!E$26:E$126,1),9))*('Step 5 Routing'!F677-INDEX('Step 4 Stage Discharge'!E$26:M$126,MATCH('Step 5 Routing'!F677,'Step 4 Stage Discharge'!E$26:E$126,1),1))/(INDEX('Step 4 Stage Discharge'!E$26:M$126,MATCH('Step 5 Routing'!F677,'Step 4 Stage Discharge'!E$26:E$126,1)+1,1)-INDEX('Step 4 Stage Discharge'!E$26:M$126,MATCH('Step 5 Routing'!F677,'Step 4 Stage Discharge'!E$26:E$126,1),1))</f>
        <v>4.3639431710317386E-3</v>
      </c>
      <c r="J677" s="149"/>
      <c r="K677" s="6">
        <f t="shared" si="51"/>
        <v>0</v>
      </c>
      <c r="L677" s="6">
        <f t="shared" si="52"/>
        <v>0</v>
      </c>
    </row>
    <row r="678" spans="1:12">
      <c r="A678">
        <f t="shared" si="53"/>
        <v>665</v>
      </c>
      <c r="B678" s="136">
        <f>IF(C$5=Data!D$3,'Step 2 Inflow Hydrograph'!H722,IF(C$5=Data!D$4,'Step 2 Inflow Hydrograph'!I722,IF(C$5=Data!D$5,'Step 2 Inflow Hydrograph'!J722,'Step 2 Inflow Hydrograph'!K722)))</f>
        <v>0</v>
      </c>
      <c r="C678" s="127"/>
      <c r="D678" s="6">
        <f t="shared" si="50"/>
        <v>0</v>
      </c>
      <c r="E678" s="6"/>
      <c r="F678" s="6">
        <f t="shared" si="54"/>
        <v>0</v>
      </c>
      <c r="G678" s="149">
        <f>INDEX('Step 4 Stage Discharge'!E$26:F$126,MATCH(F678,'Step 4 Stage Discharge'!E$26:E$126,1),2)+(INDEX('Step 4 Stage Discharge'!E$26:F$126,MATCH(F678,'Step 4 Stage Discharge'!E$26:E$126,1)+1,2)-INDEX('Step 4 Stage Discharge'!E$26:F$126,MATCH(F678,'Step 4 Stage Discharge'!E$26:E$126,1),2))*(F678-INDEX('Step 4 Stage Discharge'!E$26:F$126,MATCH(F678,'Step 4 Stage Discharge'!E$26:E$126,1),1))/(INDEX('Step 4 Stage Discharge'!E$26:F$126,MATCH(F678,'Step 4 Stage Discharge'!E$26:E$126,1)+1,1)-INDEX('Step 4 Stage Discharge'!E$26:F$126,MATCH(F678,'Step 4 Stage Discharge'!E$26:E$126,1),1))</f>
        <v>0</v>
      </c>
      <c r="H678" s="149"/>
      <c r="I678" s="149">
        <f>INDEX('Step 4 Stage Discharge'!E$26:M$126,MATCH(F678,'Step 4 Stage Discharge'!E$26:E$126,1),9)+(INDEX('Step 4 Stage Discharge'!E$26:M$126,MATCH('Step 5 Routing'!F678,'Step 4 Stage Discharge'!E$26:E$126,1)+1,9)-INDEX('Step 4 Stage Discharge'!E$26:M$126,MATCH('Step 5 Routing'!F678,'Step 4 Stage Discharge'!E$26:E$126,1),9))*('Step 5 Routing'!F678-INDEX('Step 4 Stage Discharge'!E$26:M$126,MATCH('Step 5 Routing'!F678,'Step 4 Stage Discharge'!E$26:E$126,1),1))/(INDEX('Step 4 Stage Discharge'!E$26:M$126,MATCH('Step 5 Routing'!F678,'Step 4 Stage Discharge'!E$26:E$126,1)+1,1)-INDEX('Step 4 Stage Discharge'!E$26:M$126,MATCH('Step 5 Routing'!F678,'Step 4 Stage Discharge'!E$26:E$126,1),1))</f>
        <v>4.3639431710317386E-3</v>
      </c>
      <c r="J678" s="149"/>
      <c r="K678" s="6">
        <f t="shared" si="51"/>
        <v>0</v>
      </c>
      <c r="L678" s="6">
        <f t="shared" si="52"/>
        <v>0</v>
      </c>
    </row>
    <row r="679" spans="1:12">
      <c r="A679">
        <f t="shared" si="53"/>
        <v>666</v>
      </c>
      <c r="B679" s="136">
        <f>IF(C$5=Data!D$3,'Step 2 Inflow Hydrograph'!H723,IF(C$5=Data!D$4,'Step 2 Inflow Hydrograph'!I723,IF(C$5=Data!D$5,'Step 2 Inflow Hydrograph'!J723,'Step 2 Inflow Hydrograph'!K723)))</f>
        <v>0</v>
      </c>
      <c r="C679" s="127"/>
      <c r="D679" s="6">
        <f t="shared" si="50"/>
        <v>0</v>
      </c>
      <c r="E679" s="6"/>
      <c r="F679" s="6">
        <f t="shared" si="54"/>
        <v>0</v>
      </c>
      <c r="G679" s="149">
        <f>INDEX('Step 4 Stage Discharge'!E$26:F$126,MATCH(F679,'Step 4 Stage Discharge'!E$26:E$126,1),2)+(INDEX('Step 4 Stage Discharge'!E$26:F$126,MATCH(F679,'Step 4 Stage Discharge'!E$26:E$126,1)+1,2)-INDEX('Step 4 Stage Discharge'!E$26:F$126,MATCH(F679,'Step 4 Stage Discharge'!E$26:E$126,1),2))*(F679-INDEX('Step 4 Stage Discharge'!E$26:F$126,MATCH(F679,'Step 4 Stage Discharge'!E$26:E$126,1),1))/(INDEX('Step 4 Stage Discharge'!E$26:F$126,MATCH(F679,'Step 4 Stage Discharge'!E$26:E$126,1)+1,1)-INDEX('Step 4 Stage Discharge'!E$26:F$126,MATCH(F679,'Step 4 Stage Discharge'!E$26:E$126,1),1))</f>
        <v>0</v>
      </c>
      <c r="H679" s="149"/>
      <c r="I679" s="149">
        <f>INDEX('Step 4 Stage Discharge'!E$26:M$126,MATCH(F679,'Step 4 Stage Discharge'!E$26:E$126,1),9)+(INDEX('Step 4 Stage Discharge'!E$26:M$126,MATCH('Step 5 Routing'!F679,'Step 4 Stage Discharge'!E$26:E$126,1)+1,9)-INDEX('Step 4 Stage Discharge'!E$26:M$126,MATCH('Step 5 Routing'!F679,'Step 4 Stage Discharge'!E$26:E$126,1),9))*('Step 5 Routing'!F679-INDEX('Step 4 Stage Discharge'!E$26:M$126,MATCH('Step 5 Routing'!F679,'Step 4 Stage Discharge'!E$26:E$126,1),1))/(INDEX('Step 4 Stage Discharge'!E$26:M$126,MATCH('Step 5 Routing'!F679,'Step 4 Stage Discharge'!E$26:E$126,1)+1,1)-INDEX('Step 4 Stage Discharge'!E$26:M$126,MATCH('Step 5 Routing'!F679,'Step 4 Stage Discharge'!E$26:E$126,1),1))</f>
        <v>4.3639431710317386E-3</v>
      </c>
      <c r="J679" s="149"/>
      <c r="K679" s="6">
        <f t="shared" si="51"/>
        <v>0</v>
      </c>
      <c r="L679" s="6">
        <f t="shared" si="52"/>
        <v>0</v>
      </c>
    </row>
    <row r="680" spans="1:12">
      <c r="A680">
        <f t="shared" si="53"/>
        <v>667</v>
      </c>
      <c r="B680" s="136">
        <f>IF(C$5=Data!D$3,'Step 2 Inflow Hydrograph'!H724,IF(C$5=Data!D$4,'Step 2 Inflow Hydrograph'!I724,IF(C$5=Data!D$5,'Step 2 Inflow Hydrograph'!J724,'Step 2 Inflow Hydrograph'!K724)))</f>
        <v>0</v>
      </c>
      <c r="C680" s="127"/>
      <c r="D680" s="6">
        <f t="shared" si="50"/>
        <v>0</v>
      </c>
      <c r="E680" s="6"/>
      <c r="F680" s="6">
        <f t="shared" si="54"/>
        <v>0</v>
      </c>
      <c r="G680" s="149">
        <f>INDEX('Step 4 Stage Discharge'!E$26:F$126,MATCH(F680,'Step 4 Stage Discharge'!E$26:E$126,1),2)+(INDEX('Step 4 Stage Discharge'!E$26:F$126,MATCH(F680,'Step 4 Stage Discharge'!E$26:E$126,1)+1,2)-INDEX('Step 4 Stage Discharge'!E$26:F$126,MATCH(F680,'Step 4 Stage Discharge'!E$26:E$126,1),2))*(F680-INDEX('Step 4 Stage Discharge'!E$26:F$126,MATCH(F680,'Step 4 Stage Discharge'!E$26:E$126,1),1))/(INDEX('Step 4 Stage Discharge'!E$26:F$126,MATCH(F680,'Step 4 Stage Discharge'!E$26:E$126,1)+1,1)-INDEX('Step 4 Stage Discharge'!E$26:F$126,MATCH(F680,'Step 4 Stage Discharge'!E$26:E$126,1),1))</f>
        <v>0</v>
      </c>
      <c r="H680" s="149"/>
      <c r="I680" s="149">
        <f>INDEX('Step 4 Stage Discharge'!E$26:M$126,MATCH(F680,'Step 4 Stage Discharge'!E$26:E$126,1),9)+(INDEX('Step 4 Stage Discharge'!E$26:M$126,MATCH('Step 5 Routing'!F680,'Step 4 Stage Discharge'!E$26:E$126,1)+1,9)-INDEX('Step 4 Stage Discharge'!E$26:M$126,MATCH('Step 5 Routing'!F680,'Step 4 Stage Discharge'!E$26:E$126,1),9))*('Step 5 Routing'!F680-INDEX('Step 4 Stage Discharge'!E$26:M$126,MATCH('Step 5 Routing'!F680,'Step 4 Stage Discharge'!E$26:E$126,1),1))/(INDEX('Step 4 Stage Discharge'!E$26:M$126,MATCH('Step 5 Routing'!F680,'Step 4 Stage Discharge'!E$26:E$126,1)+1,1)-INDEX('Step 4 Stage Discharge'!E$26:M$126,MATCH('Step 5 Routing'!F680,'Step 4 Stage Discharge'!E$26:E$126,1),1))</f>
        <v>4.3639431710317386E-3</v>
      </c>
      <c r="J680" s="149"/>
      <c r="K680" s="6">
        <f t="shared" si="51"/>
        <v>0</v>
      </c>
      <c r="L680" s="6">
        <f t="shared" si="52"/>
        <v>0</v>
      </c>
    </row>
    <row r="681" spans="1:12">
      <c r="A681">
        <f t="shared" si="53"/>
        <v>668</v>
      </c>
      <c r="B681" s="136">
        <f>IF(C$5=Data!D$3,'Step 2 Inflow Hydrograph'!H725,IF(C$5=Data!D$4,'Step 2 Inflow Hydrograph'!I725,IF(C$5=Data!D$5,'Step 2 Inflow Hydrograph'!J725,'Step 2 Inflow Hydrograph'!K725)))</f>
        <v>0</v>
      </c>
      <c r="C681" s="127"/>
      <c r="D681" s="6">
        <f t="shared" si="50"/>
        <v>0</v>
      </c>
      <c r="E681" s="6"/>
      <c r="F681" s="6">
        <f t="shared" si="54"/>
        <v>0</v>
      </c>
      <c r="G681" s="149">
        <f>INDEX('Step 4 Stage Discharge'!E$26:F$126,MATCH(F681,'Step 4 Stage Discharge'!E$26:E$126,1),2)+(INDEX('Step 4 Stage Discharge'!E$26:F$126,MATCH(F681,'Step 4 Stage Discharge'!E$26:E$126,1)+1,2)-INDEX('Step 4 Stage Discharge'!E$26:F$126,MATCH(F681,'Step 4 Stage Discharge'!E$26:E$126,1),2))*(F681-INDEX('Step 4 Stage Discharge'!E$26:F$126,MATCH(F681,'Step 4 Stage Discharge'!E$26:E$126,1),1))/(INDEX('Step 4 Stage Discharge'!E$26:F$126,MATCH(F681,'Step 4 Stage Discharge'!E$26:E$126,1)+1,1)-INDEX('Step 4 Stage Discharge'!E$26:F$126,MATCH(F681,'Step 4 Stage Discharge'!E$26:E$126,1),1))</f>
        <v>0</v>
      </c>
      <c r="H681" s="149"/>
      <c r="I681" s="149">
        <f>INDEX('Step 4 Stage Discharge'!E$26:M$126,MATCH(F681,'Step 4 Stage Discharge'!E$26:E$126,1),9)+(INDEX('Step 4 Stage Discharge'!E$26:M$126,MATCH('Step 5 Routing'!F681,'Step 4 Stage Discharge'!E$26:E$126,1)+1,9)-INDEX('Step 4 Stage Discharge'!E$26:M$126,MATCH('Step 5 Routing'!F681,'Step 4 Stage Discharge'!E$26:E$126,1),9))*('Step 5 Routing'!F681-INDEX('Step 4 Stage Discharge'!E$26:M$126,MATCH('Step 5 Routing'!F681,'Step 4 Stage Discharge'!E$26:E$126,1),1))/(INDEX('Step 4 Stage Discharge'!E$26:M$126,MATCH('Step 5 Routing'!F681,'Step 4 Stage Discharge'!E$26:E$126,1)+1,1)-INDEX('Step 4 Stage Discharge'!E$26:M$126,MATCH('Step 5 Routing'!F681,'Step 4 Stage Discharge'!E$26:E$126,1),1))</f>
        <v>4.3639431710317386E-3</v>
      </c>
      <c r="J681" s="149"/>
      <c r="K681" s="6">
        <f t="shared" si="51"/>
        <v>0</v>
      </c>
      <c r="L681" s="6">
        <f t="shared" si="52"/>
        <v>0</v>
      </c>
    </row>
    <row r="682" spans="1:12">
      <c r="A682">
        <f t="shared" si="53"/>
        <v>669</v>
      </c>
      <c r="B682" s="136">
        <f>IF(C$5=Data!D$3,'Step 2 Inflow Hydrograph'!H726,IF(C$5=Data!D$4,'Step 2 Inflow Hydrograph'!I726,IF(C$5=Data!D$5,'Step 2 Inflow Hydrograph'!J726,'Step 2 Inflow Hydrograph'!K726)))</f>
        <v>0</v>
      </c>
      <c r="C682" s="127"/>
      <c r="D682" s="6">
        <f t="shared" si="50"/>
        <v>0</v>
      </c>
      <c r="E682" s="6"/>
      <c r="F682" s="6">
        <f t="shared" si="54"/>
        <v>0</v>
      </c>
      <c r="G682" s="149">
        <f>INDEX('Step 4 Stage Discharge'!E$26:F$126,MATCH(F682,'Step 4 Stage Discharge'!E$26:E$126,1),2)+(INDEX('Step 4 Stage Discharge'!E$26:F$126,MATCH(F682,'Step 4 Stage Discharge'!E$26:E$126,1)+1,2)-INDEX('Step 4 Stage Discharge'!E$26:F$126,MATCH(F682,'Step 4 Stage Discharge'!E$26:E$126,1),2))*(F682-INDEX('Step 4 Stage Discharge'!E$26:F$126,MATCH(F682,'Step 4 Stage Discharge'!E$26:E$126,1),1))/(INDEX('Step 4 Stage Discharge'!E$26:F$126,MATCH(F682,'Step 4 Stage Discharge'!E$26:E$126,1)+1,1)-INDEX('Step 4 Stage Discharge'!E$26:F$126,MATCH(F682,'Step 4 Stage Discharge'!E$26:E$126,1),1))</f>
        <v>0</v>
      </c>
      <c r="H682" s="149"/>
      <c r="I682" s="149">
        <f>INDEX('Step 4 Stage Discharge'!E$26:M$126,MATCH(F682,'Step 4 Stage Discharge'!E$26:E$126,1),9)+(INDEX('Step 4 Stage Discharge'!E$26:M$126,MATCH('Step 5 Routing'!F682,'Step 4 Stage Discharge'!E$26:E$126,1)+1,9)-INDEX('Step 4 Stage Discharge'!E$26:M$126,MATCH('Step 5 Routing'!F682,'Step 4 Stage Discharge'!E$26:E$126,1),9))*('Step 5 Routing'!F682-INDEX('Step 4 Stage Discharge'!E$26:M$126,MATCH('Step 5 Routing'!F682,'Step 4 Stage Discharge'!E$26:E$126,1),1))/(INDEX('Step 4 Stage Discharge'!E$26:M$126,MATCH('Step 5 Routing'!F682,'Step 4 Stage Discharge'!E$26:E$126,1)+1,1)-INDEX('Step 4 Stage Discharge'!E$26:M$126,MATCH('Step 5 Routing'!F682,'Step 4 Stage Discharge'!E$26:E$126,1),1))</f>
        <v>4.3639431710317386E-3</v>
      </c>
      <c r="J682" s="149"/>
      <c r="K682" s="6">
        <f t="shared" si="51"/>
        <v>0</v>
      </c>
      <c r="L682" s="6">
        <f t="shared" si="52"/>
        <v>0</v>
      </c>
    </row>
    <row r="683" spans="1:12">
      <c r="A683">
        <f t="shared" si="53"/>
        <v>670</v>
      </c>
      <c r="B683" s="136">
        <f>IF(C$5=Data!D$3,'Step 2 Inflow Hydrograph'!H727,IF(C$5=Data!D$4,'Step 2 Inflow Hydrograph'!I727,IF(C$5=Data!D$5,'Step 2 Inflow Hydrograph'!J727,'Step 2 Inflow Hydrograph'!K727)))</f>
        <v>0</v>
      </c>
      <c r="C683" s="127"/>
      <c r="D683" s="6">
        <f t="shared" si="50"/>
        <v>0</v>
      </c>
      <c r="E683" s="6"/>
      <c r="F683" s="6">
        <f t="shared" si="54"/>
        <v>0</v>
      </c>
      <c r="G683" s="149">
        <f>INDEX('Step 4 Stage Discharge'!E$26:F$126,MATCH(F683,'Step 4 Stage Discharge'!E$26:E$126,1),2)+(INDEX('Step 4 Stage Discharge'!E$26:F$126,MATCH(F683,'Step 4 Stage Discharge'!E$26:E$126,1)+1,2)-INDEX('Step 4 Stage Discharge'!E$26:F$126,MATCH(F683,'Step 4 Stage Discharge'!E$26:E$126,1),2))*(F683-INDEX('Step 4 Stage Discharge'!E$26:F$126,MATCH(F683,'Step 4 Stage Discharge'!E$26:E$126,1),1))/(INDEX('Step 4 Stage Discharge'!E$26:F$126,MATCH(F683,'Step 4 Stage Discharge'!E$26:E$126,1)+1,1)-INDEX('Step 4 Stage Discharge'!E$26:F$126,MATCH(F683,'Step 4 Stage Discharge'!E$26:E$126,1),1))</f>
        <v>0</v>
      </c>
      <c r="H683" s="149"/>
      <c r="I683" s="149">
        <f>INDEX('Step 4 Stage Discharge'!E$26:M$126,MATCH(F683,'Step 4 Stage Discharge'!E$26:E$126,1),9)+(INDEX('Step 4 Stage Discharge'!E$26:M$126,MATCH('Step 5 Routing'!F683,'Step 4 Stage Discharge'!E$26:E$126,1)+1,9)-INDEX('Step 4 Stage Discharge'!E$26:M$126,MATCH('Step 5 Routing'!F683,'Step 4 Stage Discharge'!E$26:E$126,1),9))*('Step 5 Routing'!F683-INDEX('Step 4 Stage Discharge'!E$26:M$126,MATCH('Step 5 Routing'!F683,'Step 4 Stage Discharge'!E$26:E$126,1),1))/(INDEX('Step 4 Stage Discharge'!E$26:M$126,MATCH('Step 5 Routing'!F683,'Step 4 Stage Discharge'!E$26:E$126,1)+1,1)-INDEX('Step 4 Stage Discharge'!E$26:M$126,MATCH('Step 5 Routing'!F683,'Step 4 Stage Discharge'!E$26:E$126,1),1))</f>
        <v>4.3639431710317386E-3</v>
      </c>
      <c r="J683" s="149"/>
      <c r="K683" s="6">
        <f t="shared" si="51"/>
        <v>0</v>
      </c>
      <c r="L683" s="6">
        <f t="shared" si="52"/>
        <v>0</v>
      </c>
    </row>
    <row r="684" spans="1:12">
      <c r="A684">
        <f t="shared" si="53"/>
        <v>671</v>
      </c>
      <c r="B684" s="136">
        <f>IF(C$5=Data!D$3,'Step 2 Inflow Hydrograph'!H728,IF(C$5=Data!D$4,'Step 2 Inflow Hydrograph'!I728,IF(C$5=Data!D$5,'Step 2 Inflow Hydrograph'!J728,'Step 2 Inflow Hydrograph'!K728)))</f>
        <v>0</v>
      </c>
      <c r="C684" s="127"/>
      <c r="D684" s="6">
        <f t="shared" si="50"/>
        <v>0</v>
      </c>
      <c r="E684" s="6"/>
      <c r="F684" s="6">
        <f t="shared" si="54"/>
        <v>0</v>
      </c>
      <c r="G684" s="149">
        <f>INDEX('Step 4 Stage Discharge'!E$26:F$126,MATCH(F684,'Step 4 Stage Discharge'!E$26:E$126,1),2)+(INDEX('Step 4 Stage Discharge'!E$26:F$126,MATCH(F684,'Step 4 Stage Discharge'!E$26:E$126,1)+1,2)-INDEX('Step 4 Stage Discharge'!E$26:F$126,MATCH(F684,'Step 4 Stage Discharge'!E$26:E$126,1),2))*(F684-INDEX('Step 4 Stage Discharge'!E$26:F$126,MATCH(F684,'Step 4 Stage Discharge'!E$26:E$126,1),1))/(INDEX('Step 4 Stage Discharge'!E$26:F$126,MATCH(F684,'Step 4 Stage Discharge'!E$26:E$126,1)+1,1)-INDEX('Step 4 Stage Discharge'!E$26:F$126,MATCH(F684,'Step 4 Stage Discharge'!E$26:E$126,1),1))</f>
        <v>0</v>
      </c>
      <c r="H684" s="149"/>
      <c r="I684" s="149">
        <f>INDEX('Step 4 Stage Discharge'!E$26:M$126,MATCH(F684,'Step 4 Stage Discharge'!E$26:E$126,1),9)+(INDEX('Step 4 Stage Discharge'!E$26:M$126,MATCH('Step 5 Routing'!F684,'Step 4 Stage Discharge'!E$26:E$126,1)+1,9)-INDEX('Step 4 Stage Discharge'!E$26:M$126,MATCH('Step 5 Routing'!F684,'Step 4 Stage Discharge'!E$26:E$126,1),9))*('Step 5 Routing'!F684-INDEX('Step 4 Stage Discharge'!E$26:M$126,MATCH('Step 5 Routing'!F684,'Step 4 Stage Discharge'!E$26:E$126,1),1))/(INDEX('Step 4 Stage Discharge'!E$26:M$126,MATCH('Step 5 Routing'!F684,'Step 4 Stage Discharge'!E$26:E$126,1)+1,1)-INDEX('Step 4 Stage Discharge'!E$26:M$126,MATCH('Step 5 Routing'!F684,'Step 4 Stage Discharge'!E$26:E$126,1),1))</f>
        <v>4.3639431710317386E-3</v>
      </c>
      <c r="J684" s="149"/>
      <c r="K684" s="6">
        <f t="shared" si="51"/>
        <v>0</v>
      </c>
      <c r="L684" s="6">
        <f t="shared" si="52"/>
        <v>0</v>
      </c>
    </row>
    <row r="685" spans="1:12">
      <c r="A685">
        <f t="shared" si="53"/>
        <v>672</v>
      </c>
      <c r="B685" s="136">
        <f>IF(C$5=Data!D$3,'Step 2 Inflow Hydrograph'!H729,IF(C$5=Data!D$4,'Step 2 Inflow Hydrograph'!I729,IF(C$5=Data!D$5,'Step 2 Inflow Hydrograph'!J729,'Step 2 Inflow Hydrograph'!K729)))</f>
        <v>0</v>
      </c>
      <c r="C685" s="127"/>
      <c r="D685" s="6">
        <f t="shared" si="50"/>
        <v>0</v>
      </c>
      <c r="E685" s="6"/>
      <c r="F685" s="6">
        <f t="shared" si="54"/>
        <v>0</v>
      </c>
      <c r="G685" s="149">
        <f>INDEX('Step 4 Stage Discharge'!E$26:F$126,MATCH(F685,'Step 4 Stage Discharge'!E$26:E$126,1),2)+(INDEX('Step 4 Stage Discharge'!E$26:F$126,MATCH(F685,'Step 4 Stage Discharge'!E$26:E$126,1)+1,2)-INDEX('Step 4 Stage Discharge'!E$26:F$126,MATCH(F685,'Step 4 Stage Discharge'!E$26:E$126,1),2))*(F685-INDEX('Step 4 Stage Discharge'!E$26:F$126,MATCH(F685,'Step 4 Stage Discharge'!E$26:E$126,1),1))/(INDEX('Step 4 Stage Discharge'!E$26:F$126,MATCH(F685,'Step 4 Stage Discharge'!E$26:E$126,1)+1,1)-INDEX('Step 4 Stage Discharge'!E$26:F$126,MATCH(F685,'Step 4 Stage Discharge'!E$26:E$126,1),1))</f>
        <v>0</v>
      </c>
      <c r="H685" s="149"/>
      <c r="I685" s="149">
        <f>INDEX('Step 4 Stage Discharge'!E$26:M$126,MATCH(F685,'Step 4 Stage Discharge'!E$26:E$126,1),9)+(INDEX('Step 4 Stage Discharge'!E$26:M$126,MATCH('Step 5 Routing'!F685,'Step 4 Stage Discharge'!E$26:E$126,1)+1,9)-INDEX('Step 4 Stage Discharge'!E$26:M$126,MATCH('Step 5 Routing'!F685,'Step 4 Stage Discharge'!E$26:E$126,1),9))*('Step 5 Routing'!F685-INDEX('Step 4 Stage Discharge'!E$26:M$126,MATCH('Step 5 Routing'!F685,'Step 4 Stage Discharge'!E$26:E$126,1),1))/(INDEX('Step 4 Stage Discharge'!E$26:M$126,MATCH('Step 5 Routing'!F685,'Step 4 Stage Discharge'!E$26:E$126,1)+1,1)-INDEX('Step 4 Stage Discharge'!E$26:M$126,MATCH('Step 5 Routing'!F685,'Step 4 Stage Discharge'!E$26:E$126,1),1))</f>
        <v>4.3639431710317386E-3</v>
      </c>
      <c r="J685" s="149"/>
      <c r="K685" s="6">
        <f t="shared" si="51"/>
        <v>0</v>
      </c>
      <c r="L685" s="6">
        <f t="shared" si="52"/>
        <v>0</v>
      </c>
    </row>
    <row r="686" spans="1:12">
      <c r="A686">
        <f t="shared" si="53"/>
        <v>673</v>
      </c>
      <c r="B686" s="136">
        <f>IF(C$5=Data!D$3,'Step 2 Inflow Hydrograph'!H730,IF(C$5=Data!D$4,'Step 2 Inflow Hydrograph'!I730,IF(C$5=Data!D$5,'Step 2 Inflow Hydrograph'!J730,'Step 2 Inflow Hydrograph'!K730)))</f>
        <v>0</v>
      </c>
      <c r="C686" s="127"/>
      <c r="D686" s="6">
        <f t="shared" si="50"/>
        <v>0</v>
      </c>
      <c r="E686" s="6"/>
      <c r="F686" s="6">
        <f t="shared" si="54"/>
        <v>0</v>
      </c>
      <c r="G686" s="149">
        <f>INDEX('Step 4 Stage Discharge'!E$26:F$126,MATCH(F686,'Step 4 Stage Discharge'!E$26:E$126,1),2)+(INDEX('Step 4 Stage Discharge'!E$26:F$126,MATCH(F686,'Step 4 Stage Discharge'!E$26:E$126,1)+1,2)-INDEX('Step 4 Stage Discharge'!E$26:F$126,MATCH(F686,'Step 4 Stage Discharge'!E$26:E$126,1),2))*(F686-INDEX('Step 4 Stage Discharge'!E$26:F$126,MATCH(F686,'Step 4 Stage Discharge'!E$26:E$126,1),1))/(INDEX('Step 4 Stage Discharge'!E$26:F$126,MATCH(F686,'Step 4 Stage Discharge'!E$26:E$126,1)+1,1)-INDEX('Step 4 Stage Discharge'!E$26:F$126,MATCH(F686,'Step 4 Stage Discharge'!E$26:E$126,1),1))</f>
        <v>0</v>
      </c>
      <c r="H686" s="149"/>
      <c r="I686" s="149">
        <f>INDEX('Step 4 Stage Discharge'!E$26:M$126,MATCH(F686,'Step 4 Stage Discharge'!E$26:E$126,1),9)+(INDEX('Step 4 Stage Discharge'!E$26:M$126,MATCH('Step 5 Routing'!F686,'Step 4 Stage Discharge'!E$26:E$126,1)+1,9)-INDEX('Step 4 Stage Discharge'!E$26:M$126,MATCH('Step 5 Routing'!F686,'Step 4 Stage Discharge'!E$26:E$126,1),9))*('Step 5 Routing'!F686-INDEX('Step 4 Stage Discharge'!E$26:M$126,MATCH('Step 5 Routing'!F686,'Step 4 Stage Discharge'!E$26:E$126,1),1))/(INDEX('Step 4 Stage Discharge'!E$26:M$126,MATCH('Step 5 Routing'!F686,'Step 4 Stage Discharge'!E$26:E$126,1)+1,1)-INDEX('Step 4 Stage Discharge'!E$26:M$126,MATCH('Step 5 Routing'!F686,'Step 4 Stage Discharge'!E$26:E$126,1),1))</f>
        <v>4.3639431710317386E-3</v>
      </c>
      <c r="J686" s="149"/>
      <c r="K686" s="6">
        <f t="shared" si="51"/>
        <v>0</v>
      </c>
      <c r="L686" s="6">
        <f t="shared" si="52"/>
        <v>0</v>
      </c>
    </row>
    <row r="687" spans="1:12">
      <c r="A687">
        <f t="shared" si="53"/>
        <v>674</v>
      </c>
      <c r="B687" s="136">
        <f>IF(C$5=Data!D$3,'Step 2 Inflow Hydrograph'!H731,IF(C$5=Data!D$4,'Step 2 Inflow Hydrograph'!I731,IF(C$5=Data!D$5,'Step 2 Inflow Hydrograph'!J731,'Step 2 Inflow Hydrograph'!K731)))</f>
        <v>0</v>
      </c>
      <c r="C687" s="127"/>
      <c r="D687" s="6">
        <f t="shared" si="50"/>
        <v>0</v>
      </c>
      <c r="E687" s="6"/>
      <c r="F687" s="6">
        <f t="shared" si="54"/>
        <v>0</v>
      </c>
      <c r="G687" s="149">
        <f>INDEX('Step 4 Stage Discharge'!E$26:F$126,MATCH(F687,'Step 4 Stage Discharge'!E$26:E$126,1),2)+(INDEX('Step 4 Stage Discharge'!E$26:F$126,MATCH(F687,'Step 4 Stage Discharge'!E$26:E$126,1)+1,2)-INDEX('Step 4 Stage Discharge'!E$26:F$126,MATCH(F687,'Step 4 Stage Discharge'!E$26:E$126,1),2))*(F687-INDEX('Step 4 Stage Discharge'!E$26:F$126,MATCH(F687,'Step 4 Stage Discharge'!E$26:E$126,1),1))/(INDEX('Step 4 Stage Discharge'!E$26:F$126,MATCH(F687,'Step 4 Stage Discharge'!E$26:E$126,1)+1,1)-INDEX('Step 4 Stage Discharge'!E$26:F$126,MATCH(F687,'Step 4 Stage Discharge'!E$26:E$126,1),1))</f>
        <v>0</v>
      </c>
      <c r="H687" s="149"/>
      <c r="I687" s="149">
        <f>INDEX('Step 4 Stage Discharge'!E$26:M$126,MATCH(F687,'Step 4 Stage Discharge'!E$26:E$126,1),9)+(INDEX('Step 4 Stage Discharge'!E$26:M$126,MATCH('Step 5 Routing'!F687,'Step 4 Stage Discharge'!E$26:E$126,1)+1,9)-INDEX('Step 4 Stage Discharge'!E$26:M$126,MATCH('Step 5 Routing'!F687,'Step 4 Stage Discharge'!E$26:E$126,1),9))*('Step 5 Routing'!F687-INDEX('Step 4 Stage Discharge'!E$26:M$126,MATCH('Step 5 Routing'!F687,'Step 4 Stage Discharge'!E$26:E$126,1),1))/(INDEX('Step 4 Stage Discharge'!E$26:M$126,MATCH('Step 5 Routing'!F687,'Step 4 Stage Discharge'!E$26:E$126,1)+1,1)-INDEX('Step 4 Stage Discharge'!E$26:M$126,MATCH('Step 5 Routing'!F687,'Step 4 Stage Discharge'!E$26:E$126,1),1))</f>
        <v>4.3639431710317386E-3</v>
      </c>
      <c r="J687" s="149"/>
      <c r="K687" s="6">
        <f t="shared" si="51"/>
        <v>0</v>
      </c>
      <c r="L687" s="6">
        <f t="shared" si="52"/>
        <v>0</v>
      </c>
    </row>
    <row r="688" spans="1:12">
      <c r="A688">
        <f t="shared" si="53"/>
        <v>675</v>
      </c>
      <c r="B688" s="136">
        <f>IF(C$5=Data!D$3,'Step 2 Inflow Hydrograph'!H732,IF(C$5=Data!D$4,'Step 2 Inflow Hydrograph'!I732,IF(C$5=Data!D$5,'Step 2 Inflow Hydrograph'!J732,'Step 2 Inflow Hydrograph'!K732)))</f>
        <v>0</v>
      </c>
      <c r="C688" s="127"/>
      <c r="D688" s="6">
        <f t="shared" si="50"/>
        <v>0</v>
      </c>
      <c r="E688" s="6"/>
      <c r="F688" s="6">
        <f t="shared" si="54"/>
        <v>0</v>
      </c>
      <c r="G688" s="149">
        <f>INDEX('Step 4 Stage Discharge'!E$26:F$126,MATCH(F688,'Step 4 Stage Discharge'!E$26:E$126,1),2)+(INDEX('Step 4 Stage Discharge'!E$26:F$126,MATCH(F688,'Step 4 Stage Discharge'!E$26:E$126,1)+1,2)-INDEX('Step 4 Stage Discharge'!E$26:F$126,MATCH(F688,'Step 4 Stage Discharge'!E$26:E$126,1),2))*(F688-INDEX('Step 4 Stage Discharge'!E$26:F$126,MATCH(F688,'Step 4 Stage Discharge'!E$26:E$126,1),1))/(INDEX('Step 4 Stage Discharge'!E$26:F$126,MATCH(F688,'Step 4 Stage Discharge'!E$26:E$126,1)+1,1)-INDEX('Step 4 Stage Discharge'!E$26:F$126,MATCH(F688,'Step 4 Stage Discharge'!E$26:E$126,1),1))</f>
        <v>0</v>
      </c>
      <c r="H688" s="149"/>
      <c r="I688" s="149">
        <f>INDEX('Step 4 Stage Discharge'!E$26:M$126,MATCH(F688,'Step 4 Stage Discharge'!E$26:E$126,1),9)+(INDEX('Step 4 Stage Discharge'!E$26:M$126,MATCH('Step 5 Routing'!F688,'Step 4 Stage Discharge'!E$26:E$126,1)+1,9)-INDEX('Step 4 Stage Discharge'!E$26:M$126,MATCH('Step 5 Routing'!F688,'Step 4 Stage Discharge'!E$26:E$126,1),9))*('Step 5 Routing'!F688-INDEX('Step 4 Stage Discharge'!E$26:M$126,MATCH('Step 5 Routing'!F688,'Step 4 Stage Discharge'!E$26:E$126,1),1))/(INDEX('Step 4 Stage Discharge'!E$26:M$126,MATCH('Step 5 Routing'!F688,'Step 4 Stage Discharge'!E$26:E$126,1)+1,1)-INDEX('Step 4 Stage Discharge'!E$26:M$126,MATCH('Step 5 Routing'!F688,'Step 4 Stage Discharge'!E$26:E$126,1),1))</f>
        <v>4.3639431710317386E-3</v>
      </c>
      <c r="J688" s="149"/>
      <c r="K688" s="6">
        <f t="shared" si="51"/>
        <v>0</v>
      </c>
      <c r="L688" s="6">
        <f t="shared" si="52"/>
        <v>0</v>
      </c>
    </row>
    <row r="689" spans="1:12">
      <c r="A689">
        <f t="shared" si="53"/>
        <v>676</v>
      </c>
      <c r="B689" s="136">
        <f>IF(C$5=Data!D$3,'Step 2 Inflow Hydrograph'!H733,IF(C$5=Data!D$4,'Step 2 Inflow Hydrograph'!I733,IF(C$5=Data!D$5,'Step 2 Inflow Hydrograph'!J733,'Step 2 Inflow Hydrograph'!K733)))</f>
        <v>0</v>
      </c>
      <c r="C689" s="127"/>
      <c r="D689" s="6">
        <f t="shared" si="50"/>
        <v>0</v>
      </c>
      <c r="E689" s="6"/>
      <c r="F689" s="6">
        <f t="shared" si="54"/>
        <v>0</v>
      </c>
      <c r="G689" s="149">
        <f>INDEX('Step 4 Stage Discharge'!E$26:F$126,MATCH(F689,'Step 4 Stage Discharge'!E$26:E$126,1),2)+(INDEX('Step 4 Stage Discharge'!E$26:F$126,MATCH(F689,'Step 4 Stage Discharge'!E$26:E$126,1)+1,2)-INDEX('Step 4 Stage Discharge'!E$26:F$126,MATCH(F689,'Step 4 Stage Discharge'!E$26:E$126,1),2))*(F689-INDEX('Step 4 Stage Discharge'!E$26:F$126,MATCH(F689,'Step 4 Stage Discharge'!E$26:E$126,1),1))/(INDEX('Step 4 Stage Discharge'!E$26:F$126,MATCH(F689,'Step 4 Stage Discharge'!E$26:E$126,1)+1,1)-INDEX('Step 4 Stage Discharge'!E$26:F$126,MATCH(F689,'Step 4 Stage Discharge'!E$26:E$126,1),1))</f>
        <v>0</v>
      </c>
      <c r="H689" s="149"/>
      <c r="I689" s="149">
        <f>INDEX('Step 4 Stage Discharge'!E$26:M$126,MATCH(F689,'Step 4 Stage Discharge'!E$26:E$126,1),9)+(INDEX('Step 4 Stage Discharge'!E$26:M$126,MATCH('Step 5 Routing'!F689,'Step 4 Stage Discharge'!E$26:E$126,1)+1,9)-INDEX('Step 4 Stage Discharge'!E$26:M$126,MATCH('Step 5 Routing'!F689,'Step 4 Stage Discharge'!E$26:E$126,1),9))*('Step 5 Routing'!F689-INDEX('Step 4 Stage Discharge'!E$26:M$126,MATCH('Step 5 Routing'!F689,'Step 4 Stage Discharge'!E$26:E$126,1),1))/(INDEX('Step 4 Stage Discharge'!E$26:M$126,MATCH('Step 5 Routing'!F689,'Step 4 Stage Discharge'!E$26:E$126,1)+1,1)-INDEX('Step 4 Stage Discharge'!E$26:M$126,MATCH('Step 5 Routing'!F689,'Step 4 Stage Discharge'!E$26:E$126,1),1))</f>
        <v>4.3639431710317386E-3</v>
      </c>
      <c r="J689" s="149"/>
      <c r="K689" s="6">
        <f t="shared" si="51"/>
        <v>0</v>
      </c>
      <c r="L689" s="6">
        <f t="shared" si="52"/>
        <v>0</v>
      </c>
    </row>
    <row r="690" spans="1:12">
      <c r="A690">
        <f t="shared" si="53"/>
        <v>677</v>
      </c>
      <c r="B690" s="136">
        <f>IF(C$5=Data!D$3,'Step 2 Inflow Hydrograph'!H734,IF(C$5=Data!D$4,'Step 2 Inflow Hydrograph'!I734,IF(C$5=Data!D$5,'Step 2 Inflow Hydrograph'!J734,'Step 2 Inflow Hydrograph'!K734)))</f>
        <v>0</v>
      </c>
      <c r="C690" s="127"/>
      <c r="D690" s="6">
        <f t="shared" si="50"/>
        <v>0</v>
      </c>
      <c r="E690" s="6"/>
      <c r="F690" s="6">
        <f t="shared" si="54"/>
        <v>0</v>
      </c>
      <c r="G690" s="149">
        <f>INDEX('Step 4 Stage Discharge'!E$26:F$126,MATCH(F690,'Step 4 Stage Discharge'!E$26:E$126,1),2)+(INDEX('Step 4 Stage Discharge'!E$26:F$126,MATCH(F690,'Step 4 Stage Discharge'!E$26:E$126,1)+1,2)-INDEX('Step 4 Stage Discharge'!E$26:F$126,MATCH(F690,'Step 4 Stage Discharge'!E$26:E$126,1),2))*(F690-INDEX('Step 4 Stage Discharge'!E$26:F$126,MATCH(F690,'Step 4 Stage Discharge'!E$26:E$126,1),1))/(INDEX('Step 4 Stage Discharge'!E$26:F$126,MATCH(F690,'Step 4 Stage Discharge'!E$26:E$126,1)+1,1)-INDEX('Step 4 Stage Discharge'!E$26:F$126,MATCH(F690,'Step 4 Stage Discharge'!E$26:E$126,1),1))</f>
        <v>0</v>
      </c>
      <c r="H690" s="149"/>
      <c r="I690" s="149">
        <f>INDEX('Step 4 Stage Discharge'!E$26:M$126,MATCH(F690,'Step 4 Stage Discharge'!E$26:E$126,1),9)+(INDEX('Step 4 Stage Discharge'!E$26:M$126,MATCH('Step 5 Routing'!F690,'Step 4 Stage Discharge'!E$26:E$126,1)+1,9)-INDEX('Step 4 Stage Discharge'!E$26:M$126,MATCH('Step 5 Routing'!F690,'Step 4 Stage Discharge'!E$26:E$126,1),9))*('Step 5 Routing'!F690-INDEX('Step 4 Stage Discharge'!E$26:M$126,MATCH('Step 5 Routing'!F690,'Step 4 Stage Discharge'!E$26:E$126,1),1))/(INDEX('Step 4 Stage Discharge'!E$26:M$126,MATCH('Step 5 Routing'!F690,'Step 4 Stage Discharge'!E$26:E$126,1)+1,1)-INDEX('Step 4 Stage Discharge'!E$26:M$126,MATCH('Step 5 Routing'!F690,'Step 4 Stage Discharge'!E$26:E$126,1),1))</f>
        <v>4.3639431710317386E-3</v>
      </c>
      <c r="J690" s="149"/>
      <c r="K690" s="6">
        <f t="shared" si="51"/>
        <v>0</v>
      </c>
      <c r="L690" s="6">
        <f t="shared" si="52"/>
        <v>0</v>
      </c>
    </row>
    <row r="691" spans="1:12">
      <c r="A691">
        <f t="shared" si="53"/>
        <v>678</v>
      </c>
      <c r="B691" s="136">
        <f>IF(C$5=Data!D$3,'Step 2 Inflow Hydrograph'!H735,IF(C$5=Data!D$4,'Step 2 Inflow Hydrograph'!I735,IF(C$5=Data!D$5,'Step 2 Inflow Hydrograph'!J735,'Step 2 Inflow Hydrograph'!K735)))</f>
        <v>0</v>
      </c>
      <c r="C691" s="127"/>
      <c r="D691" s="6">
        <f t="shared" si="50"/>
        <v>0</v>
      </c>
      <c r="E691" s="6"/>
      <c r="F691" s="6">
        <f t="shared" si="54"/>
        <v>0</v>
      </c>
      <c r="G691" s="149">
        <f>INDEX('Step 4 Stage Discharge'!E$26:F$126,MATCH(F691,'Step 4 Stage Discharge'!E$26:E$126,1),2)+(INDEX('Step 4 Stage Discharge'!E$26:F$126,MATCH(F691,'Step 4 Stage Discharge'!E$26:E$126,1)+1,2)-INDEX('Step 4 Stage Discharge'!E$26:F$126,MATCH(F691,'Step 4 Stage Discharge'!E$26:E$126,1),2))*(F691-INDEX('Step 4 Stage Discharge'!E$26:F$126,MATCH(F691,'Step 4 Stage Discharge'!E$26:E$126,1),1))/(INDEX('Step 4 Stage Discharge'!E$26:F$126,MATCH(F691,'Step 4 Stage Discharge'!E$26:E$126,1)+1,1)-INDEX('Step 4 Stage Discharge'!E$26:F$126,MATCH(F691,'Step 4 Stage Discharge'!E$26:E$126,1),1))</f>
        <v>0</v>
      </c>
      <c r="H691" s="149"/>
      <c r="I691" s="149">
        <f>INDEX('Step 4 Stage Discharge'!E$26:M$126,MATCH(F691,'Step 4 Stage Discharge'!E$26:E$126,1),9)+(INDEX('Step 4 Stage Discharge'!E$26:M$126,MATCH('Step 5 Routing'!F691,'Step 4 Stage Discharge'!E$26:E$126,1)+1,9)-INDEX('Step 4 Stage Discharge'!E$26:M$126,MATCH('Step 5 Routing'!F691,'Step 4 Stage Discharge'!E$26:E$126,1),9))*('Step 5 Routing'!F691-INDEX('Step 4 Stage Discharge'!E$26:M$126,MATCH('Step 5 Routing'!F691,'Step 4 Stage Discharge'!E$26:E$126,1),1))/(INDEX('Step 4 Stage Discharge'!E$26:M$126,MATCH('Step 5 Routing'!F691,'Step 4 Stage Discharge'!E$26:E$126,1)+1,1)-INDEX('Step 4 Stage Discharge'!E$26:M$126,MATCH('Step 5 Routing'!F691,'Step 4 Stage Discharge'!E$26:E$126,1),1))</f>
        <v>4.3639431710317386E-3</v>
      </c>
      <c r="J691" s="149"/>
      <c r="K691" s="6">
        <f t="shared" si="51"/>
        <v>0</v>
      </c>
      <c r="L691" s="6">
        <f t="shared" si="52"/>
        <v>0</v>
      </c>
    </row>
    <row r="692" spans="1:12">
      <c r="A692">
        <f t="shared" si="53"/>
        <v>679</v>
      </c>
      <c r="B692" s="136">
        <f>IF(C$5=Data!D$3,'Step 2 Inflow Hydrograph'!H736,IF(C$5=Data!D$4,'Step 2 Inflow Hydrograph'!I736,IF(C$5=Data!D$5,'Step 2 Inflow Hydrograph'!J736,'Step 2 Inflow Hydrograph'!K736)))</f>
        <v>0</v>
      </c>
      <c r="C692" s="127"/>
      <c r="D692" s="6">
        <f t="shared" si="50"/>
        <v>0</v>
      </c>
      <c r="E692" s="6"/>
      <c r="F692" s="6">
        <f t="shared" si="54"/>
        <v>0</v>
      </c>
      <c r="G692" s="149">
        <f>INDEX('Step 4 Stage Discharge'!E$26:F$126,MATCH(F692,'Step 4 Stage Discharge'!E$26:E$126,1),2)+(INDEX('Step 4 Stage Discharge'!E$26:F$126,MATCH(F692,'Step 4 Stage Discharge'!E$26:E$126,1)+1,2)-INDEX('Step 4 Stage Discharge'!E$26:F$126,MATCH(F692,'Step 4 Stage Discharge'!E$26:E$126,1),2))*(F692-INDEX('Step 4 Stage Discharge'!E$26:F$126,MATCH(F692,'Step 4 Stage Discharge'!E$26:E$126,1),1))/(INDEX('Step 4 Stage Discharge'!E$26:F$126,MATCH(F692,'Step 4 Stage Discharge'!E$26:E$126,1)+1,1)-INDEX('Step 4 Stage Discharge'!E$26:F$126,MATCH(F692,'Step 4 Stage Discharge'!E$26:E$126,1),1))</f>
        <v>0</v>
      </c>
      <c r="H692" s="149"/>
      <c r="I692" s="149">
        <f>INDEX('Step 4 Stage Discharge'!E$26:M$126,MATCH(F692,'Step 4 Stage Discharge'!E$26:E$126,1),9)+(INDEX('Step 4 Stage Discharge'!E$26:M$126,MATCH('Step 5 Routing'!F692,'Step 4 Stage Discharge'!E$26:E$126,1)+1,9)-INDEX('Step 4 Stage Discharge'!E$26:M$126,MATCH('Step 5 Routing'!F692,'Step 4 Stage Discharge'!E$26:E$126,1),9))*('Step 5 Routing'!F692-INDEX('Step 4 Stage Discharge'!E$26:M$126,MATCH('Step 5 Routing'!F692,'Step 4 Stage Discharge'!E$26:E$126,1),1))/(INDEX('Step 4 Stage Discharge'!E$26:M$126,MATCH('Step 5 Routing'!F692,'Step 4 Stage Discharge'!E$26:E$126,1)+1,1)-INDEX('Step 4 Stage Discharge'!E$26:M$126,MATCH('Step 5 Routing'!F692,'Step 4 Stage Discharge'!E$26:E$126,1),1))</f>
        <v>4.3639431710317386E-3</v>
      </c>
      <c r="J692" s="149"/>
      <c r="K692" s="6">
        <f t="shared" si="51"/>
        <v>0</v>
      </c>
      <c r="L692" s="6">
        <f t="shared" si="52"/>
        <v>0</v>
      </c>
    </row>
    <row r="693" spans="1:12">
      <c r="A693">
        <f t="shared" si="53"/>
        <v>680</v>
      </c>
      <c r="B693" s="136">
        <f>IF(C$5=Data!D$3,'Step 2 Inflow Hydrograph'!H737,IF(C$5=Data!D$4,'Step 2 Inflow Hydrograph'!I737,IF(C$5=Data!D$5,'Step 2 Inflow Hydrograph'!J737,'Step 2 Inflow Hydrograph'!K737)))</f>
        <v>0</v>
      </c>
      <c r="C693" s="127"/>
      <c r="D693" s="6">
        <f t="shared" si="50"/>
        <v>0</v>
      </c>
      <c r="E693" s="6"/>
      <c r="F693" s="6">
        <f t="shared" si="54"/>
        <v>0</v>
      </c>
      <c r="G693" s="149">
        <f>INDEX('Step 4 Stage Discharge'!E$26:F$126,MATCH(F693,'Step 4 Stage Discharge'!E$26:E$126,1),2)+(INDEX('Step 4 Stage Discharge'!E$26:F$126,MATCH(F693,'Step 4 Stage Discharge'!E$26:E$126,1)+1,2)-INDEX('Step 4 Stage Discharge'!E$26:F$126,MATCH(F693,'Step 4 Stage Discharge'!E$26:E$126,1),2))*(F693-INDEX('Step 4 Stage Discharge'!E$26:F$126,MATCH(F693,'Step 4 Stage Discharge'!E$26:E$126,1),1))/(INDEX('Step 4 Stage Discharge'!E$26:F$126,MATCH(F693,'Step 4 Stage Discharge'!E$26:E$126,1)+1,1)-INDEX('Step 4 Stage Discharge'!E$26:F$126,MATCH(F693,'Step 4 Stage Discharge'!E$26:E$126,1),1))</f>
        <v>0</v>
      </c>
      <c r="H693" s="149"/>
      <c r="I693" s="149">
        <f>INDEX('Step 4 Stage Discharge'!E$26:M$126,MATCH(F693,'Step 4 Stage Discharge'!E$26:E$126,1),9)+(INDEX('Step 4 Stage Discharge'!E$26:M$126,MATCH('Step 5 Routing'!F693,'Step 4 Stage Discharge'!E$26:E$126,1)+1,9)-INDEX('Step 4 Stage Discharge'!E$26:M$126,MATCH('Step 5 Routing'!F693,'Step 4 Stage Discharge'!E$26:E$126,1),9))*('Step 5 Routing'!F693-INDEX('Step 4 Stage Discharge'!E$26:M$126,MATCH('Step 5 Routing'!F693,'Step 4 Stage Discharge'!E$26:E$126,1),1))/(INDEX('Step 4 Stage Discharge'!E$26:M$126,MATCH('Step 5 Routing'!F693,'Step 4 Stage Discharge'!E$26:E$126,1)+1,1)-INDEX('Step 4 Stage Discharge'!E$26:M$126,MATCH('Step 5 Routing'!F693,'Step 4 Stage Discharge'!E$26:E$126,1),1))</f>
        <v>4.3639431710317386E-3</v>
      </c>
      <c r="J693" s="149"/>
      <c r="K693" s="6">
        <f t="shared" si="51"/>
        <v>0</v>
      </c>
      <c r="L693" s="6">
        <f t="shared" si="52"/>
        <v>0</v>
      </c>
    </row>
    <row r="694" spans="1:12">
      <c r="A694">
        <f t="shared" si="53"/>
        <v>681</v>
      </c>
      <c r="B694" s="136">
        <f>IF(C$5=Data!D$3,'Step 2 Inflow Hydrograph'!H738,IF(C$5=Data!D$4,'Step 2 Inflow Hydrograph'!I738,IF(C$5=Data!D$5,'Step 2 Inflow Hydrograph'!J738,'Step 2 Inflow Hydrograph'!K738)))</f>
        <v>0</v>
      </c>
      <c r="C694" s="127"/>
      <c r="D694" s="6">
        <f t="shared" si="50"/>
        <v>0</v>
      </c>
      <c r="E694" s="6"/>
      <c r="F694" s="6">
        <f t="shared" si="54"/>
        <v>0</v>
      </c>
      <c r="G694" s="149">
        <f>INDEX('Step 4 Stage Discharge'!E$26:F$126,MATCH(F694,'Step 4 Stage Discharge'!E$26:E$126,1),2)+(INDEX('Step 4 Stage Discharge'!E$26:F$126,MATCH(F694,'Step 4 Stage Discharge'!E$26:E$126,1)+1,2)-INDEX('Step 4 Stage Discharge'!E$26:F$126,MATCH(F694,'Step 4 Stage Discharge'!E$26:E$126,1),2))*(F694-INDEX('Step 4 Stage Discharge'!E$26:F$126,MATCH(F694,'Step 4 Stage Discharge'!E$26:E$126,1),1))/(INDEX('Step 4 Stage Discharge'!E$26:F$126,MATCH(F694,'Step 4 Stage Discharge'!E$26:E$126,1)+1,1)-INDEX('Step 4 Stage Discharge'!E$26:F$126,MATCH(F694,'Step 4 Stage Discharge'!E$26:E$126,1),1))</f>
        <v>0</v>
      </c>
      <c r="H694" s="149"/>
      <c r="I694" s="149">
        <f>INDEX('Step 4 Stage Discharge'!E$26:M$126,MATCH(F694,'Step 4 Stage Discharge'!E$26:E$126,1),9)+(INDEX('Step 4 Stage Discharge'!E$26:M$126,MATCH('Step 5 Routing'!F694,'Step 4 Stage Discharge'!E$26:E$126,1)+1,9)-INDEX('Step 4 Stage Discharge'!E$26:M$126,MATCH('Step 5 Routing'!F694,'Step 4 Stage Discharge'!E$26:E$126,1),9))*('Step 5 Routing'!F694-INDEX('Step 4 Stage Discharge'!E$26:M$126,MATCH('Step 5 Routing'!F694,'Step 4 Stage Discharge'!E$26:E$126,1),1))/(INDEX('Step 4 Stage Discharge'!E$26:M$126,MATCH('Step 5 Routing'!F694,'Step 4 Stage Discharge'!E$26:E$126,1)+1,1)-INDEX('Step 4 Stage Discharge'!E$26:M$126,MATCH('Step 5 Routing'!F694,'Step 4 Stage Discharge'!E$26:E$126,1),1))</f>
        <v>4.3639431710317386E-3</v>
      </c>
      <c r="J694" s="149"/>
      <c r="K694" s="6">
        <f t="shared" si="51"/>
        <v>0</v>
      </c>
      <c r="L694" s="6">
        <f t="shared" si="52"/>
        <v>0</v>
      </c>
    </row>
    <row r="695" spans="1:12">
      <c r="A695">
        <f t="shared" si="53"/>
        <v>682</v>
      </c>
      <c r="B695" s="136">
        <f>IF(C$5=Data!D$3,'Step 2 Inflow Hydrograph'!H739,IF(C$5=Data!D$4,'Step 2 Inflow Hydrograph'!I739,IF(C$5=Data!D$5,'Step 2 Inflow Hydrograph'!J739,'Step 2 Inflow Hydrograph'!K739)))</f>
        <v>0</v>
      </c>
      <c r="C695" s="127"/>
      <c r="D695" s="6">
        <f t="shared" si="50"/>
        <v>0</v>
      </c>
      <c r="E695" s="6"/>
      <c r="F695" s="6">
        <f t="shared" si="54"/>
        <v>0</v>
      </c>
      <c r="G695" s="149">
        <f>INDEX('Step 4 Stage Discharge'!E$26:F$126,MATCH(F695,'Step 4 Stage Discharge'!E$26:E$126,1),2)+(INDEX('Step 4 Stage Discharge'!E$26:F$126,MATCH(F695,'Step 4 Stage Discharge'!E$26:E$126,1)+1,2)-INDEX('Step 4 Stage Discharge'!E$26:F$126,MATCH(F695,'Step 4 Stage Discharge'!E$26:E$126,1),2))*(F695-INDEX('Step 4 Stage Discharge'!E$26:F$126,MATCH(F695,'Step 4 Stage Discharge'!E$26:E$126,1),1))/(INDEX('Step 4 Stage Discharge'!E$26:F$126,MATCH(F695,'Step 4 Stage Discharge'!E$26:E$126,1)+1,1)-INDEX('Step 4 Stage Discharge'!E$26:F$126,MATCH(F695,'Step 4 Stage Discharge'!E$26:E$126,1),1))</f>
        <v>0</v>
      </c>
      <c r="H695" s="149"/>
      <c r="I695" s="149">
        <f>INDEX('Step 4 Stage Discharge'!E$26:M$126,MATCH(F695,'Step 4 Stage Discharge'!E$26:E$126,1),9)+(INDEX('Step 4 Stage Discharge'!E$26:M$126,MATCH('Step 5 Routing'!F695,'Step 4 Stage Discharge'!E$26:E$126,1)+1,9)-INDEX('Step 4 Stage Discharge'!E$26:M$126,MATCH('Step 5 Routing'!F695,'Step 4 Stage Discharge'!E$26:E$126,1),9))*('Step 5 Routing'!F695-INDEX('Step 4 Stage Discharge'!E$26:M$126,MATCH('Step 5 Routing'!F695,'Step 4 Stage Discharge'!E$26:E$126,1),1))/(INDEX('Step 4 Stage Discharge'!E$26:M$126,MATCH('Step 5 Routing'!F695,'Step 4 Stage Discharge'!E$26:E$126,1)+1,1)-INDEX('Step 4 Stage Discharge'!E$26:M$126,MATCH('Step 5 Routing'!F695,'Step 4 Stage Discharge'!E$26:E$126,1),1))</f>
        <v>4.3639431710317386E-3</v>
      </c>
      <c r="J695" s="149"/>
      <c r="K695" s="6">
        <f t="shared" si="51"/>
        <v>0</v>
      </c>
      <c r="L695" s="6">
        <f t="shared" si="52"/>
        <v>0</v>
      </c>
    </row>
    <row r="696" spans="1:12">
      <c r="A696">
        <f t="shared" si="53"/>
        <v>683</v>
      </c>
      <c r="B696" s="136">
        <f>IF(C$5=Data!D$3,'Step 2 Inflow Hydrograph'!H740,IF(C$5=Data!D$4,'Step 2 Inflow Hydrograph'!I740,IF(C$5=Data!D$5,'Step 2 Inflow Hydrograph'!J740,'Step 2 Inflow Hydrograph'!K740)))</f>
        <v>0</v>
      </c>
      <c r="C696" s="127"/>
      <c r="D696" s="6">
        <f t="shared" si="50"/>
        <v>0</v>
      </c>
      <c r="E696" s="6"/>
      <c r="F696" s="6">
        <f t="shared" si="54"/>
        <v>0</v>
      </c>
      <c r="G696" s="149">
        <f>INDEX('Step 4 Stage Discharge'!E$26:F$126,MATCH(F696,'Step 4 Stage Discharge'!E$26:E$126,1),2)+(INDEX('Step 4 Stage Discharge'!E$26:F$126,MATCH(F696,'Step 4 Stage Discharge'!E$26:E$126,1)+1,2)-INDEX('Step 4 Stage Discharge'!E$26:F$126,MATCH(F696,'Step 4 Stage Discharge'!E$26:E$126,1),2))*(F696-INDEX('Step 4 Stage Discharge'!E$26:F$126,MATCH(F696,'Step 4 Stage Discharge'!E$26:E$126,1),1))/(INDEX('Step 4 Stage Discharge'!E$26:F$126,MATCH(F696,'Step 4 Stage Discharge'!E$26:E$126,1)+1,1)-INDEX('Step 4 Stage Discharge'!E$26:F$126,MATCH(F696,'Step 4 Stage Discharge'!E$26:E$126,1),1))</f>
        <v>0</v>
      </c>
      <c r="H696" s="149"/>
      <c r="I696" s="149">
        <f>INDEX('Step 4 Stage Discharge'!E$26:M$126,MATCH(F696,'Step 4 Stage Discharge'!E$26:E$126,1),9)+(INDEX('Step 4 Stage Discharge'!E$26:M$126,MATCH('Step 5 Routing'!F696,'Step 4 Stage Discharge'!E$26:E$126,1)+1,9)-INDEX('Step 4 Stage Discharge'!E$26:M$126,MATCH('Step 5 Routing'!F696,'Step 4 Stage Discharge'!E$26:E$126,1),9))*('Step 5 Routing'!F696-INDEX('Step 4 Stage Discharge'!E$26:M$126,MATCH('Step 5 Routing'!F696,'Step 4 Stage Discharge'!E$26:E$126,1),1))/(INDEX('Step 4 Stage Discharge'!E$26:M$126,MATCH('Step 5 Routing'!F696,'Step 4 Stage Discharge'!E$26:E$126,1)+1,1)-INDEX('Step 4 Stage Discharge'!E$26:M$126,MATCH('Step 5 Routing'!F696,'Step 4 Stage Discharge'!E$26:E$126,1),1))</f>
        <v>4.3639431710317386E-3</v>
      </c>
      <c r="J696" s="149"/>
      <c r="K696" s="6">
        <f t="shared" si="51"/>
        <v>0</v>
      </c>
      <c r="L696" s="6">
        <f t="shared" si="52"/>
        <v>0</v>
      </c>
    </row>
    <row r="697" spans="1:12">
      <c r="A697">
        <f t="shared" si="53"/>
        <v>684</v>
      </c>
      <c r="B697" s="136">
        <f>IF(C$5=Data!D$3,'Step 2 Inflow Hydrograph'!H741,IF(C$5=Data!D$4,'Step 2 Inflow Hydrograph'!I741,IF(C$5=Data!D$5,'Step 2 Inflow Hydrograph'!J741,'Step 2 Inflow Hydrograph'!K741)))</f>
        <v>0</v>
      </c>
      <c r="C697" s="127"/>
      <c r="D697" s="6">
        <f t="shared" si="50"/>
        <v>0</v>
      </c>
      <c r="E697" s="6"/>
      <c r="F697" s="6">
        <f t="shared" si="54"/>
        <v>0</v>
      </c>
      <c r="G697" s="149">
        <f>INDEX('Step 4 Stage Discharge'!E$26:F$126,MATCH(F697,'Step 4 Stage Discharge'!E$26:E$126,1),2)+(INDEX('Step 4 Stage Discharge'!E$26:F$126,MATCH(F697,'Step 4 Stage Discharge'!E$26:E$126,1)+1,2)-INDEX('Step 4 Stage Discharge'!E$26:F$126,MATCH(F697,'Step 4 Stage Discharge'!E$26:E$126,1),2))*(F697-INDEX('Step 4 Stage Discharge'!E$26:F$126,MATCH(F697,'Step 4 Stage Discharge'!E$26:E$126,1),1))/(INDEX('Step 4 Stage Discharge'!E$26:F$126,MATCH(F697,'Step 4 Stage Discharge'!E$26:E$126,1)+1,1)-INDEX('Step 4 Stage Discharge'!E$26:F$126,MATCH(F697,'Step 4 Stage Discharge'!E$26:E$126,1),1))</f>
        <v>0</v>
      </c>
      <c r="H697" s="149"/>
      <c r="I697" s="149">
        <f>INDEX('Step 4 Stage Discharge'!E$26:M$126,MATCH(F697,'Step 4 Stage Discharge'!E$26:E$126,1),9)+(INDEX('Step 4 Stage Discharge'!E$26:M$126,MATCH('Step 5 Routing'!F697,'Step 4 Stage Discharge'!E$26:E$126,1)+1,9)-INDEX('Step 4 Stage Discharge'!E$26:M$126,MATCH('Step 5 Routing'!F697,'Step 4 Stage Discharge'!E$26:E$126,1),9))*('Step 5 Routing'!F697-INDEX('Step 4 Stage Discharge'!E$26:M$126,MATCH('Step 5 Routing'!F697,'Step 4 Stage Discharge'!E$26:E$126,1),1))/(INDEX('Step 4 Stage Discharge'!E$26:M$126,MATCH('Step 5 Routing'!F697,'Step 4 Stage Discharge'!E$26:E$126,1)+1,1)-INDEX('Step 4 Stage Discharge'!E$26:M$126,MATCH('Step 5 Routing'!F697,'Step 4 Stage Discharge'!E$26:E$126,1),1))</f>
        <v>4.3639431710317386E-3</v>
      </c>
      <c r="J697" s="149"/>
      <c r="K697" s="6">
        <f t="shared" si="51"/>
        <v>0</v>
      </c>
      <c r="L697" s="6">
        <f t="shared" si="52"/>
        <v>0</v>
      </c>
    </row>
    <row r="698" spans="1:12">
      <c r="A698">
        <f t="shared" si="53"/>
        <v>685</v>
      </c>
      <c r="B698" s="136">
        <f>IF(C$5=Data!D$3,'Step 2 Inflow Hydrograph'!H742,IF(C$5=Data!D$4,'Step 2 Inflow Hydrograph'!I742,IF(C$5=Data!D$5,'Step 2 Inflow Hydrograph'!J742,'Step 2 Inflow Hydrograph'!K742)))</f>
        <v>0</v>
      </c>
      <c r="C698" s="127"/>
      <c r="D698" s="6">
        <f t="shared" si="50"/>
        <v>0</v>
      </c>
      <c r="E698" s="6"/>
      <c r="F698" s="6">
        <f t="shared" si="54"/>
        <v>0</v>
      </c>
      <c r="G698" s="149">
        <f>INDEX('Step 4 Stage Discharge'!E$26:F$126,MATCH(F698,'Step 4 Stage Discharge'!E$26:E$126,1),2)+(INDEX('Step 4 Stage Discharge'!E$26:F$126,MATCH(F698,'Step 4 Stage Discharge'!E$26:E$126,1)+1,2)-INDEX('Step 4 Stage Discharge'!E$26:F$126,MATCH(F698,'Step 4 Stage Discharge'!E$26:E$126,1),2))*(F698-INDEX('Step 4 Stage Discharge'!E$26:F$126,MATCH(F698,'Step 4 Stage Discharge'!E$26:E$126,1),1))/(INDEX('Step 4 Stage Discharge'!E$26:F$126,MATCH(F698,'Step 4 Stage Discharge'!E$26:E$126,1)+1,1)-INDEX('Step 4 Stage Discharge'!E$26:F$126,MATCH(F698,'Step 4 Stage Discharge'!E$26:E$126,1),1))</f>
        <v>0</v>
      </c>
      <c r="H698" s="149"/>
      <c r="I698" s="149">
        <f>INDEX('Step 4 Stage Discharge'!E$26:M$126,MATCH(F698,'Step 4 Stage Discharge'!E$26:E$126,1),9)+(INDEX('Step 4 Stage Discharge'!E$26:M$126,MATCH('Step 5 Routing'!F698,'Step 4 Stage Discharge'!E$26:E$126,1)+1,9)-INDEX('Step 4 Stage Discharge'!E$26:M$126,MATCH('Step 5 Routing'!F698,'Step 4 Stage Discharge'!E$26:E$126,1),9))*('Step 5 Routing'!F698-INDEX('Step 4 Stage Discharge'!E$26:M$126,MATCH('Step 5 Routing'!F698,'Step 4 Stage Discharge'!E$26:E$126,1),1))/(INDEX('Step 4 Stage Discharge'!E$26:M$126,MATCH('Step 5 Routing'!F698,'Step 4 Stage Discharge'!E$26:E$126,1)+1,1)-INDEX('Step 4 Stage Discharge'!E$26:M$126,MATCH('Step 5 Routing'!F698,'Step 4 Stage Discharge'!E$26:E$126,1),1))</f>
        <v>4.3639431710317386E-3</v>
      </c>
      <c r="J698" s="149"/>
      <c r="K698" s="6">
        <f t="shared" si="51"/>
        <v>0</v>
      </c>
      <c r="L698" s="6">
        <f t="shared" si="52"/>
        <v>0</v>
      </c>
    </row>
    <row r="699" spans="1:12">
      <c r="A699">
        <f t="shared" si="53"/>
        <v>686</v>
      </c>
      <c r="B699" s="136">
        <f>IF(C$5=Data!D$3,'Step 2 Inflow Hydrograph'!H743,IF(C$5=Data!D$4,'Step 2 Inflow Hydrograph'!I743,IF(C$5=Data!D$5,'Step 2 Inflow Hydrograph'!J743,'Step 2 Inflow Hydrograph'!K743)))</f>
        <v>0</v>
      </c>
      <c r="C699" s="127"/>
      <c r="D699" s="6">
        <f t="shared" si="50"/>
        <v>0</v>
      </c>
      <c r="E699" s="6"/>
      <c r="F699" s="6">
        <f t="shared" si="54"/>
        <v>0</v>
      </c>
      <c r="G699" s="149">
        <f>INDEX('Step 4 Stage Discharge'!E$26:F$126,MATCH(F699,'Step 4 Stage Discharge'!E$26:E$126,1),2)+(INDEX('Step 4 Stage Discharge'!E$26:F$126,MATCH(F699,'Step 4 Stage Discharge'!E$26:E$126,1)+1,2)-INDEX('Step 4 Stage Discharge'!E$26:F$126,MATCH(F699,'Step 4 Stage Discharge'!E$26:E$126,1),2))*(F699-INDEX('Step 4 Stage Discharge'!E$26:F$126,MATCH(F699,'Step 4 Stage Discharge'!E$26:E$126,1),1))/(INDEX('Step 4 Stage Discharge'!E$26:F$126,MATCH(F699,'Step 4 Stage Discharge'!E$26:E$126,1)+1,1)-INDEX('Step 4 Stage Discharge'!E$26:F$126,MATCH(F699,'Step 4 Stage Discharge'!E$26:E$126,1),1))</f>
        <v>0</v>
      </c>
      <c r="H699" s="149"/>
      <c r="I699" s="149">
        <f>INDEX('Step 4 Stage Discharge'!E$26:M$126,MATCH(F699,'Step 4 Stage Discharge'!E$26:E$126,1),9)+(INDEX('Step 4 Stage Discharge'!E$26:M$126,MATCH('Step 5 Routing'!F699,'Step 4 Stage Discharge'!E$26:E$126,1)+1,9)-INDEX('Step 4 Stage Discharge'!E$26:M$126,MATCH('Step 5 Routing'!F699,'Step 4 Stage Discharge'!E$26:E$126,1),9))*('Step 5 Routing'!F699-INDEX('Step 4 Stage Discharge'!E$26:M$126,MATCH('Step 5 Routing'!F699,'Step 4 Stage Discharge'!E$26:E$126,1),1))/(INDEX('Step 4 Stage Discharge'!E$26:M$126,MATCH('Step 5 Routing'!F699,'Step 4 Stage Discharge'!E$26:E$126,1)+1,1)-INDEX('Step 4 Stage Discharge'!E$26:M$126,MATCH('Step 5 Routing'!F699,'Step 4 Stage Discharge'!E$26:E$126,1),1))</f>
        <v>4.3639431710317386E-3</v>
      </c>
      <c r="J699" s="149"/>
      <c r="K699" s="6">
        <f t="shared" si="51"/>
        <v>0</v>
      </c>
      <c r="L699" s="6">
        <f t="shared" si="52"/>
        <v>0</v>
      </c>
    </row>
    <row r="700" spans="1:12">
      <c r="A700">
        <f t="shared" si="53"/>
        <v>687</v>
      </c>
      <c r="B700" s="136">
        <f>IF(C$5=Data!D$3,'Step 2 Inflow Hydrograph'!H744,IF(C$5=Data!D$4,'Step 2 Inflow Hydrograph'!I744,IF(C$5=Data!D$5,'Step 2 Inflow Hydrograph'!J744,'Step 2 Inflow Hydrograph'!K744)))</f>
        <v>0</v>
      </c>
      <c r="C700" s="127"/>
      <c r="D700" s="6">
        <f t="shared" si="50"/>
        <v>0</v>
      </c>
      <c r="E700" s="6"/>
      <c r="F700" s="6">
        <f t="shared" si="54"/>
        <v>0</v>
      </c>
      <c r="G700" s="149">
        <f>INDEX('Step 4 Stage Discharge'!E$26:F$126,MATCH(F700,'Step 4 Stage Discharge'!E$26:E$126,1),2)+(INDEX('Step 4 Stage Discharge'!E$26:F$126,MATCH(F700,'Step 4 Stage Discharge'!E$26:E$126,1)+1,2)-INDEX('Step 4 Stage Discharge'!E$26:F$126,MATCH(F700,'Step 4 Stage Discharge'!E$26:E$126,1),2))*(F700-INDEX('Step 4 Stage Discharge'!E$26:F$126,MATCH(F700,'Step 4 Stage Discharge'!E$26:E$126,1),1))/(INDEX('Step 4 Stage Discharge'!E$26:F$126,MATCH(F700,'Step 4 Stage Discharge'!E$26:E$126,1)+1,1)-INDEX('Step 4 Stage Discharge'!E$26:F$126,MATCH(F700,'Step 4 Stage Discharge'!E$26:E$126,1),1))</f>
        <v>0</v>
      </c>
      <c r="H700" s="149"/>
      <c r="I700" s="149">
        <f>INDEX('Step 4 Stage Discharge'!E$26:M$126,MATCH(F700,'Step 4 Stage Discharge'!E$26:E$126,1),9)+(INDEX('Step 4 Stage Discharge'!E$26:M$126,MATCH('Step 5 Routing'!F700,'Step 4 Stage Discharge'!E$26:E$126,1)+1,9)-INDEX('Step 4 Stage Discharge'!E$26:M$126,MATCH('Step 5 Routing'!F700,'Step 4 Stage Discharge'!E$26:E$126,1),9))*('Step 5 Routing'!F700-INDEX('Step 4 Stage Discharge'!E$26:M$126,MATCH('Step 5 Routing'!F700,'Step 4 Stage Discharge'!E$26:E$126,1),1))/(INDEX('Step 4 Stage Discharge'!E$26:M$126,MATCH('Step 5 Routing'!F700,'Step 4 Stage Discharge'!E$26:E$126,1)+1,1)-INDEX('Step 4 Stage Discharge'!E$26:M$126,MATCH('Step 5 Routing'!F700,'Step 4 Stage Discharge'!E$26:E$126,1),1))</f>
        <v>4.3639431710317386E-3</v>
      </c>
      <c r="J700" s="149"/>
      <c r="K700" s="6">
        <f t="shared" si="51"/>
        <v>0</v>
      </c>
      <c r="L700" s="6">
        <f t="shared" si="52"/>
        <v>0</v>
      </c>
    </row>
    <row r="701" spans="1:12">
      <c r="A701">
        <f t="shared" si="53"/>
        <v>688</v>
      </c>
      <c r="B701" s="136">
        <f>IF(C$5=Data!D$3,'Step 2 Inflow Hydrograph'!H745,IF(C$5=Data!D$4,'Step 2 Inflow Hydrograph'!I745,IF(C$5=Data!D$5,'Step 2 Inflow Hydrograph'!J745,'Step 2 Inflow Hydrograph'!K745)))</f>
        <v>0</v>
      </c>
      <c r="C701" s="127"/>
      <c r="D701" s="6">
        <f t="shared" si="50"/>
        <v>0</v>
      </c>
      <c r="E701" s="6"/>
      <c r="F701" s="6">
        <f t="shared" si="54"/>
        <v>0</v>
      </c>
      <c r="G701" s="149">
        <f>INDEX('Step 4 Stage Discharge'!E$26:F$126,MATCH(F701,'Step 4 Stage Discharge'!E$26:E$126,1),2)+(INDEX('Step 4 Stage Discharge'!E$26:F$126,MATCH(F701,'Step 4 Stage Discharge'!E$26:E$126,1)+1,2)-INDEX('Step 4 Stage Discharge'!E$26:F$126,MATCH(F701,'Step 4 Stage Discharge'!E$26:E$126,1),2))*(F701-INDEX('Step 4 Stage Discharge'!E$26:F$126,MATCH(F701,'Step 4 Stage Discharge'!E$26:E$126,1),1))/(INDEX('Step 4 Stage Discharge'!E$26:F$126,MATCH(F701,'Step 4 Stage Discharge'!E$26:E$126,1)+1,1)-INDEX('Step 4 Stage Discharge'!E$26:F$126,MATCH(F701,'Step 4 Stage Discharge'!E$26:E$126,1),1))</f>
        <v>0</v>
      </c>
      <c r="H701" s="149"/>
      <c r="I701" s="149">
        <f>INDEX('Step 4 Stage Discharge'!E$26:M$126,MATCH(F701,'Step 4 Stage Discharge'!E$26:E$126,1),9)+(INDEX('Step 4 Stage Discharge'!E$26:M$126,MATCH('Step 5 Routing'!F701,'Step 4 Stage Discharge'!E$26:E$126,1)+1,9)-INDEX('Step 4 Stage Discharge'!E$26:M$126,MATCH('Step 5 Routing'!F701,'Step 4 Stage Discharge'!E$26:E$126,1),9))*('Step 5 Routing'!F701-INDEX('Step 4 Stage Discharge'!E$26:M$126,MATCH('Step 5 Routing'!F701,'Step 4 Stage Discharge'!E$26:E$126,1),1))/(INDEX('Step 4 Stage Discharge'!E$26:M$126,MATCH('Step 5 Routing'!F701,'Step 4 Stage Discharge'!E$26:E$126,1)+1,1)-INDEX('Step 4 Stage Discharge'!E$26:M$126,MATCH('Step 5 Routing'!F701,'Step 4 Stage Discharge'!E$26:E$126,1),1))</f>
        <v>4.3639431710317386E-3</v>
      </c>
      <c r="J701" s="149"/>
      <c r="K701" s="6">
        <f t="shared" si="51"/>
        <v>0</v>
      </c>
      <c r="L701" s="6">
        <f t="shared" si="52"/>
        <v>0</v>
      </c>
    </row>
    <row r="702" spans="1:12">
      <c r="A702">
        <f t="shared" si="53"/>
        <v>689</v>
      </c>
      <c r="B702" s="136">
        <f>IF(C$5=Data!D$3,'Step 2 Inflow Hydrograph'!H746,IF(C$5=Data!D$4,'Step 2 Inflow Hydrograph'!I746,IF(C$5=Data!D$5,'Step 2 Inflow Hydrograph'!J746,'Step 2 Inflow Hydrograph'!K746)))</f>
        <v>0</v>
      </c>
      <c r="C702" s="127"/>
      <c r="D702" s="6">
        <f t="shared" si="50"/>
        <v>0</v>
      </c>
      <c r="E702" s="6"/>
      <c r="F702" s="6">
        <f t="shared" si="54"/>
        <v>0</v>
      </c>
      <c r="G702" s="149">
        <f>INDEX('Step 4 Stage Discharge'!E$26:F$126,MATCH(F702,'Step 4 Stage Discharge'!E$26:E$126,1),2)+(INDEX('Step 4 Stage Discharge'!E$26:F$126,MATCH(F702,'Step 4 Stage Discharge'!E$26:E$126,1)+1,2)-INDEX('Step 4 Stage Discharge'!E$26:F$126,MATCH(F702,'Step 4 Stage Discharge'!E$26:E$126,1),2))*(F702-INDEX('Step 4 Stage Discharge'!E$26:F$126,MATCH(F702,'Step 4 Stage Discharge'!E$26:E$126,1),1))/(INDEX('Step 4 Stage Discharge'!E$26:F$126,MATCH(F702,'Step 4 Stage Discharge'!E$26:E$126,1)+1,1)-INDEX('Step 4 Stage Discharge'!E$26:F$126,MATCH(F702,'Step 4 Stage Discharge'!E$26:E$126,1),1))</f>
        <v>0</v>
      </c>
      <c r="H702" s="149"/>
      <c r="I702" s="149">
        <f>INDEX('Step 4 Stage Discharge'!E$26:M$126,MATCH(F702,'Step 4 Stage Discharge'!E$26:E$126,1),9)+(INDEX('Step 4 Stage Discharge'!E$26:M$126,MATCH('Step 5 Routing'!F702,'Step 4 Stage Discharge'!E$26:E$126,1)+1,9)-INDEX('Step 4 Stage Discharge'!E$26:M$126,MATCH('Step 5 Routing'!F702,'Step 4 Stage Discharge'!E$26:E$126,1),9))*('Step 5 Routing'!F702-INDEX('Step 4 Stage Discharge'!E$26:M$126,MATCH('Step 5 Routing'!F702,'Step 4 Stage Discharge'!E$26:E$126,1),1))/(INDEX('Step 4 Stage Discharge'!E$26:M$126,MATCH('Step 5 Routing'!F702,'Step 4 Stage Discharge'!E$26:E$126,1)+1,1)-INDEX('Step 4 Stage Discharge'!E$26:M$126,MATCH('Step 5 Routing'!F702,'Step 4 Stage Discharge'!E$26:E$126,1),1))</f>
        <v>4.3639431710317386E-3</v>
      </c>
      <c r="J702" s="149"/>
      <c r="K702" s="6">
        <f t="shared" si="51"/>
        <v>0</v>
      </c>
      <c r="L702" s="6">
        <f t="shared" si="52"/>
        <v>0</v>
      </c>
    </row>
    <row r="703" spans="1:12">
      <c r="A703">
        <f t="shared" si="53"/>
        <v>690</v>
      </c>
      <c r="B703" s="136">
        <f>IF(C$5=Data!D$3,'Step 2 Inflow Hydrograph'!H747,IF(C$5=Data!D$4,'Step 2 Inflow Hydrograph'!I747,IF(C$5=Data!D$5,'Step 2 Inflow Hydrograph'!J747,'Step 2 Inflow Hydrograph'!K747)))</f>
        <v>0</v>
      </c>
      <c r="C703" s="127"/>
      <c r="D703" s="6">
        <f t="shared" si="50"/>
        <v>0</v>
      </c>
      <c r="E703" s="6"/>
      <c r="F703" s="6">
        <f t="shared" si="54"/>
        <v>0</v>
      </c>
      <c r="G703" s="149">
        <f>INDEX('Step 4 Stage Discharge'!E$26:F$126,MATCH(F703,'Step 4 Stage Discharge'!E$26:E$126,1),2)+(INDEX('Step 4 Stage Discharge'!E$26:F$126,MATCH(F703,'Step 4 Stage Discharge'!E$26:E$126,1)+1,2)-INDEX('Step 4 Stage Discharge'!E$26:F$126,MATCH(F703,'Step 4 Stage Discharge'!E$26:E$126,1),2))*(F703-INDEX('Step 4 Stage Discharge'!E$26:F$126,MATCH(F703,'Step 4 Stage Discharge'!E$26:E$126,1),1))/(INDEX('Step 4 Stage Discharge'!E$26:F$126,MATCH(F703,'Step 4 Stage Discharge'!E$26:E$126,1)+1,1)-INDEX('Step 4 Stage Discharge'!E$26:F$126,MATCH(F703,'Step 4 Stage Discharge'!E$26:E$126,1),1))</f>
        <v>0</v>
      </c>
      <c r="H703" s="149"/>
      <c r="I703" s="149">
        <f>INDEX('Step 4 Stage Discharge'!E$26:M$126,MATCH(F703,'Step 4 Stage Discharge'!E$26:E$126,1),9)+(INDEX('Step 4 Stage Discharge'!E$26:M$126,MATCH('Step 5 Routing'!F703,'Step 4 Stage Discharge'!E$26:E$126,1)+1,9)-INDEX('Step 4 Stage Discharge'!E$26:M$126,MATCH('Step 5 Routing'!F703,'Step 4 Stage Discharge'!E$26:E$126,1),9))*('Step 5 Routing'!F703-INDEX('Step 4 Stage Discharge'!E$26:M$126,MATCH('Step 5 Routing'!F703,'Step 4 Stage Discharge'!E$26:E$126,1),1))/(INDEX('Step 4 Stage Discharge'!E$26:M$126,MATCH('Step 5 Routing'!F703,'Step 4 Stage Discharge'!E$26:E$126,1)+1,1)-INDEX('Step 4 Stage Discharge'!E$26:M$126,MATCH('Step 5 Routing'!F703,'Step 4 Stage Discharge'!E$26:E$126,1),1))</f>
        <v>4.3639431710317386E-3</v>
      </c>
      <c r="J703" s="149"/>
      <c r="K703" s="6">
        <f t="shared" si="51"/>
        <v>0</v>
      </c>
      <c r="L703" s="6">
        <f t="shared" si="52"/>
        <v>0</v>
      </c>
    </row>
    <row r="704" spans="1:12">
      <c r="A704">
        <f t="shared" si="53"/>
        <v>691</v>
      </c>
      <c r="B704" s="136">
        <f>IF(C$5=Data!D$3,'Step 2 Inflow Hydrograph'!H748,IF(C$5=Data!D$4,'Step 2 Inflow Hydrograph'!I748,IF(C$5=Data!D$5,'Step 2 Inflow Hydrograph'!J748,'Step 2 Inflow Hydrograph'!K748)))</f>
        <v>0</v>
      </c>
      <c r="C704" s="127"/>
      <c r="D704" s="6">
        <f t="shared" si="50"/>
        <v>0</v>
      </c>
      <c r="E704" s="6"/>
      <c r="F704" s="6">
        <f t="shared" si="54"/>
        <v>0</v>
      </c>
      <c r="G704" s="149">
        <f>INDEX('Step 4 Stage Discharge'!E$26:F$126,MATCH(F704,'Step 4 Stage Discharge'!E$26:E$126,1),2)+(INDEX('Step 4 Stage Discharge'!E$26:F$126,MATCH(F704,'Step 4 Stage Discharge'!E$26:E$126,1)+1,2)-INDEX('Step 4 Stage Discharge'!E$26:F$126,MATCH(F704,'Step 4 Stage Discharge'!E$26:E$126,1),2))*(F704-INDEX('Step 4 Stage Discharge'!E$26:F$126,MATCH(F704,'Step 4 Stage Discharge'!E$26:E$126,1),1))/(INDEX('Step 4 Stage Discharge'!E$26:F$126,MATCH(F704,'Step 4 Stage Discharge'!E$26:E$126,1)+1,1)-INDEX('Step 4 Stage Discharge'!E$26:F$126,MATCH(F704,'Step 4 Stage Discharge'!E$26:E$126,1),1))</f>
        <v>0</v>
      </c>
      <c r="H704" s="149"/>
      <c r="I704" s="149">
        <f>INDEX('Step 4 Stage Discharge'!E$26:M$126,MATCH(F704,'Step 4 Stage Discharge'!E$26:E$126,1),9)+(INDEX('Step 4 Stage Discharge'!E$26:M$126,MATCH('Step 5 Routing'!F704,'Step 4 Stage Discharge'!E$26:E$126,1)+1,9)-INDEX('Step 4 Stage Discharge'!E$26:M$126,MATCH('Step 5 Routing'!F704,'Step 4 Stage Discharge'!E$26:E$126,1),9))*('Step 5 Routing'!F704-INDEX('Step 4 Stage Discharge'!E$26:M$126,MATCH('Step 5 Routing'!F704,'Step 4 Stage Discharge'!E$26:E$126,1),1))/(INDEX('Step 4 Stage Discharge'!E$26:M$126,MATCH('Step 5 Routing'!F704,'Step 4 Stage Discharge'!E$26:E$126,1)+1,1)-INDEX('Step 4 Stage Discharge'!E$26:M$126,MATCH('Step 5 Routing'!F704,'Step 4 Stage Discharge'!E$26:E$126,1),1))</f>
        <v>4.3639431710317386E-3</v>
      </c>
      <c r="J704" s="149"/>
      <c r="K704" s="6">
        <f t="shared" si="51"/>
        <v>0</v>
      </c>
      <c r="L704" s="6">
        <f t="shared" si="52"/>
        <v>0</v>
      </c>
    </row>
    <row r="705" spans="1:12">
      <c r="A705">
        <f t="shared" si="53"/>
        <v>692</v>
      </c>
      <c r="B705" s="136">
        <f>IF(C$5=Data!D$3,'Step 2 Inflow Hydrograph'!H749,IF(C$5=Data!D$4,'Step 2 Inflow Hydrograph'!I749,IF(C$5=Data!D$5,'Step 2 Inflow Hydrograph'!J749,'Step 2 Inflow Hydrograph'!K749)))</f>
        <v>0</v>
      </c>
      <c r="C705" s="127"/>
      <c r="D705" s="6">
        <f t="shared" si="50"/>
        <v>0</v>
      </c>
      <c r="E705" s="6"/>
      <c r="F705" s="6">
        <f t="shared" si="54"/>
        <v>0</v>
      </c>
      <c r="G705" s="149">
        <f>INDEX('Step 4 Stage Discharge'!E$26:F$126,MATCH(F705,'Step 4 Stage Discharge'!E$26:E$126,1),2)+(INDEX('Step 4 Stage Discharge'!E$26:F$126,MATCH(F705,'Step 4 Stage Discharge'!E$26:E$126,1)+1,2)-INDEX('Step 4 Stage Discharge'!E$26:F$126,MATCH(F705,'Step 4 Stage Discharge'!E$26:E$126,1),2))*(F705-INDEX('Step 4 Stage Discharge'!E$26:F$126,MATCH(F705,'Step 4 Stage Discharge'!E$26:E$126,1),1))/(INDEX('Step 4 Stage Discharge'!E$26:F$126,MATCH(F705,'Step 4 Stage Discharge'!E$26:E$126,1)+1,1)-INDEX('Step 4 Stage Discharge'!E$26:F$126,MATCH(F705,'Step 4 Stage Discharge'!E$26:E$126,1),1))</f>
        <v>0</v>
      </c>
      <c r="H705" s="149"/>
      <c r="I705" s="149">
        <f>INDEX('Step 4 Stage Discharge'!E$26:M$126,MATCH(F705,'Step 4 Stage Discharge'!E$26:E$126,1),9)+(INDEX('Step 4 Stage Discharge'!E$26:M$126,MATCH('Step 5 Routing'!F705,'Step 4 Stage Discharge'!E$26:E$126,1)+1,9)-INDEX('Step 4 Stage Discharge'!E$26:M$126,MATCH('Step 5 Routing'!F705,'Step 4 Stage Discharge'!E$26:E$126,1),9))*('Step 5 Routing'!F705-INDEX('Step 4 Stage Discharge'!E$26:M$126,MATCH('Step 5 Routing'!F705,'Step 4 Stage Discharge'!E$26:E$126,1),1))/(INDEX('Step 4 Stage Discharge'!E$26:M$126,MATCH('Step 5 Routing'!F705,'Step 4 Stage Discharge'!E$26:E$126,1)+1,1)-INDEX('Step 4 Stage Discharge'!E$26:M$126,MATCH('Step 5 Routing'!F705,'Step 4 Stage Discharge'!E$26:E$126,1),1))</f>
        <v>4.3639431710317386E-3</v>
      </c>
      <c r="J705" s="149"/>
      <c r="K705" s="6">
        <f t="shared" si="51"/>
        <v>0</v>
      </c>
      <c r="L705" s="6">
        <f t="shared" si="52"/>
        <v>0</v>
      </c>
    </row>
    <row r="706" spans="1:12">
      <c r="A706">
        <f t="shared" si="53"/>
        <v>693</v>
      </c>
      <c r="B706" s="136">
        <f>IF(C$5=Data!D$3,'Step 2 Inflow Hydrograph'!H750,IF(C$5=Data!D$4,'Step 2 Inflow Hydrograph'!I750,IF(C$5=Data!D$5,'Step 2 Inflow Hydrograph'!J750,'Step 2 Inflow Hydrograph'!K750)))</f>
        <v>0</v>
      </c>
      <c r="C706" s="127"/>
      <c r="D706" s="6">
        <f t="shared" si="50"/>
        <v>0</v>
      </c>
      <c r="E706" s="6"/>
      <c r="F706" s="6">
        <f t="shared" si="54"/>
        <v>0</v>
      </c>
      <c r="G706" s="149">
        <f>INDEX('Step 4 Stage Discharge'!E$26:F$126,MATCH(F706,'Step 4 Stage Discharge'!E$26:E$126,1),2)+(INDEX('Step 4 Stage Discharge'!E$26:F$126,MATCH(F706,'Step 4 Stage Discharge'!E$26:E$126,1)+1,2)-INDEX('Step 4 Stage Discharge'!E$26:F$126,MATCH(F706,'Step 4 Stage Discharge'!E$26:E$126,1),2))*(F706-INDEX('Step 4 Stage Discharge'!E$26:F$126,MATCH(F706,'Step 4 Stage Discharge'!E$26:E$126,1),1))/(INDEX('Step 4 Stage Discharge'!E$26:F$126,MATCH(F706,'Step 4 Stage Discharge'!E$26:E$126,1)+1,1)-INDEX('Step 4 Stage Discharge'!E$26:F$126,MATCH(F706,'Step 4 Stage Discharge'!E$26:E$126,1),1))</f>
        <v>0</v>
      </c>
      <c r="H706" s="149"/>
      <c r="I706" s="149">
        <f>INDEX('Step 4 Stage Discharge'!E$26:M$126,MATCH(F706,'Step 4 Stage Discharge'!E$26:E$126,1),9)+(INDEX('Step 4 Stage Discharge'!E$26:M$126,MATCH('Step 5 Routing'!F706,'Step 4 Stage Discharge'!E$26:E$126,1)+1,9)-INDEX('Step 4 Stage Discharge'!E$26:M$126,MATCH('Step 5 Routing'!F706,'Step 4 Stage Discharge'!E$26:E$126,1),9))*('Step 5 Routing'!F706-INDEX('Step 4 Stage Discharge'!E$26:M$126,MATCH('Step 5 Routing'!F706,'Step 4 Stage Discharge'!E$26:E$126,1),1))/(INDEX('Step 4 Stage Discharge'!E$26:M$126,MATCH('Step 5 Routing'!F706,'Step 4 Stage Discharge'!E$26:E$126,1)+1,1)-INDEX('Step 4 Stage Discharge'!E$26:M$126,MATCH('Step 5 Routing'!F706,'Step 4 Stage Discharge'!E$26:E$126,1),1))</f>
        <v>4.3639431710317386E-3</v>
      </c>
      <c r="J706" s="149"/>
      <c r="K706" s="6">
        <f t="shared" si="51"/>
        <v>0</v>
      </c>
      <c r="L706" s="6">
        <f t="shared" si="52"/>
        <v>0</v>
      </c>
    </row>
    <row r="707" spans="1:12">
      <c r="A707">
        <f t="shared" si="53"/>
        <v>694</v>
      </c>
      <c r="B707" s="136">
        <f>IF(C$5=Data!D$3,'Step 2 Inflow Hydrograph'!H751,IF(C$5=Data!D$4,'Step 2 Inflow Hydrograph'!I751,IF(C$5=Data!D$5,'Step 2 Inflow Hydrograph'!J751,'Step 2 Inflow Hydrograph'!K751)))</f>
        <v>0</v>
      </c>
      <c r="C707" s="127"/>
      <c r="D707" s="6">
        <f t="shared" si="50"/>
        <v>0</v>
      </c>
      <c r="E707" s="6"/>
      <c r="F707" s="6">
        <f t="shared" si="54"/>
        <v>0</v>
      </c>
      <c r="G707" s="149">
        <f>INDEX('Step 4 Stage Discharge'!E$26:F$126,MATCH(F707,'Step 4 Stage Discharge'!E$26:E$126,1),2)+(INDEX('Step 4 Stage Discharge'!E$26:F$126,MATCH(F707,'Step 4 Stage Discharge'!E$26:E$126,1)+1,2)-INDEX('Step 4 Stage Discharge'!E$26:F$126,MATCH(F707,'Step 4 Stage Discharge'!E$26:E$126,1),2))*(F707-INDEX('Step 4 Stage Discharge'!E$26:F$126,MATCH(F707,'Step 4 Stage Discharge'!E$26:E$126,1),1))/(INDEX('Step 4 Stage Discharge'!E$26:F$126,MATCH(F707,'Step 4 Stage Discharge'!E$26:E$126,1)+1,1)-INDEX('Step 4 Stage Discharge'!E$26:F$126,MATCH(F707,'Step 4 Stage Discharge'!E$26:E$126,1),1))</f>
        <v>0</v>
      </c>
      <c r="H707" s="149"/>
      <c r="I707" s="149">
        <f>INDEX('Step 4 Stage Discharge'!E$26:M$126,MATCH(F707,'Step 4 Stage Discharge'!E$26:E$126,1),9)+(INDEX('Step 4 Stage Discharge'!E$26:M$126,MATCH('Step 5 Routing'!F707,'Step 4 Stage Discharge'!E$26:E$126,1)+1,9)-INDEX('Step 4 Stage Discharge'!E$26:M$126,MATCH('Step 5 Routing'!F707,'Step 4 Stage Discharge'!E$26:E$126,1),9))*('Step 5 Routing'!F707-INDEX('Step 4 Stage Discharge'!E$26:M$126,MATCH('Step 5 Routing'!F707,'Step 4 Stage Discharge'!E$26:E$126,1),1))/(INDEX('Step 4 Stage Discharge'!E$26:M$126,MATCH('Step 5 Routing'!F707,'Step 4 Stage Discharge'!E$26:E$126,1)+1,1)-INDEX('Step 4 Stage Discharge'!E$26:M$126,MATCH('Step 5 Routing'!F707,'Step 4 Stage Discharge'!E$26:E$126,1),1))</f>
        <v>4.3639431710317386E-3</v>
      </c>
      <c r="J707" s="149"/>
      <c r="K707" s="6">
        <f t="shared" si="51"/>
        <v>0</v>
      </c>
      <c r="L707" s="6">
        <f t="shared" si="52"/>
        <v>0</v>
      </c>
    </row>
    <row r="708" spans="1:12">
      <c r="A708">
        <f t="shared" si="53"/>
        <v>695</v>
      </c>
      <c r="B708" s="136">
        <f>IF(C$5=Data!D$3,'Step 2 Inflow Hydrograph'!H752,IF(C$5=Data!D$4,'Step 2 Inflow Hydrograph'!I752,IF(C$5=Data!D$5,'Step 2 Inflow Hydrograph'!J752,'Step 2 Inflow Hydrograph'!K752)))</f>
        <v>0</v>
      </c>
      <c r="C708" s="127"/>
      <c r="D708" s="6">
        <f t="shared" si="50"/>
        <v>0</v>
      </c>
      <c r="E708" s="6"/>
      <c r="F708" s="6">
        <f t="shared" si="54"/>
        <v>0</v>
      </c>
      <c r="G708" s="149">
        <f>INDEX('Step 4 Stage Discharge'!E$26:F$126,MATCH(F708,'Step 4 Stage Discharge'!E$26:E$126,1),2)+(INDEX('Step 4 Stage Discharge'!E$26:F$126,MATCH(F708,'Step 4 Stage Discharge'!E$26:E$126,1)+1,2)-INDEX('Step 4 Stage Discharge'!E$26:F$126,MATCH(F708,'Step 4 Stage Discharge'!E$26:E$126,1),2))*(F708-INDEX('Step 4 Stage Discharge'!E$26:F$126,MATCH(F708,'Step 4 Stage Discharge'!E$26:E$126,1),1))/(INDEX('Step 4 Stage Discharge'!E$26:F$126,MATCH(F708,'Step 4 Stage Discharge'!E$26:E$126,1)+1,1)-INDEX('Step 4 Stage Discharge'!E$26:F$126,MATCH(F708,'Step 4 Stage Discharge'!E$26:E$126,1),1))</f>
        <v>0</v>
      </c>
      <c r="H708" s="149"/>
      <c r="I708" s="149">
        <f>INDEX('Step 4 Stage Discharge'!E$26:M$126,MATCH(F708,'Step 4 Stage Discharge'!E$26:E$126,1),9)+(INDEX('Step 4 Stage Discharge'!E$26:M$126,MATCH('Step 5 Routing'!F708,'Step 4 Stage Discharge'!E$26:E$126,1)+1,9)-INDEX('Step 4 Stage Discharge'!E$26:M$126,MATCH('Step 5 Routing'!F708,'Step 4 Stage Discharge'!E$26:E$126,1),9))*('Step 5 Routing'!F708-INDEX('Step 4 Stage Discharge'!E$26:M$126,MATCH('Step 5 Routing'!F708,'Step 4 Stage Discharge'!E$26:E$126,1),1))/(INDEX('Step 4 Stage Discharge'!E$26:M$126,MATCH('Step 5 Routing'!F708,'Step 4 Stage Discharge'!E$26:E$126,1)+1,1)-INDEX('Step 4 Stage Discharge'!E$26:M$126,MATCH('Step 5 Routing'!F708,'Step 4 Stage Discharge'!E$26:E$126,1),1))</f>
        <v>4.3639431710317386E-3</v>
      </c>
      <c r="J708" s="149"/>
      <c r="K708" s="6">
        <f t="shared" si="51"/>
        <v>0</v>
      </c>
      <c r="L708" s="6">
        <f t="shared" si="52"/>
        <v>0</v>
      </c>
    </row>
    <row r="709" spans="1:12">
      <c r="A709">
        <f t="shared" si="53"/>
        <v>696</v>
      </c>
      <c r="B709" s="136">
        <f>IF(C$5=Data!D$3,'Step 2 Inflow Hydrograph'!H753,IF(C$5=Data!D$4,'Step 2 Inflow Hydrograph'!I753,IF(C$5=Data!D$5,'Step 2 Inflow Hydrograph'!J753,'Step 2 Inflow Hydrograph'!K753)))</f>
        <v>0</v>
      </c>
      <c r="C709" s="127"/>
      <c r="D709" s="6">
        <f t="shared" si="50"/>
        <v>0</v>
      </c>
      <c r="E709" s="6"/>
      <c r="F709" s="6">
        <f t="shared" si="54"/>
        <v>0</v>
      </c>
      <c r="G709" s="149">
        <f>INDEX('Step 4 Stage Discharge'!E$26:F$126,MATCH(F709,'Step 4 Stage Discharge'!E$26:E$126,1),2)+(INDEX('Step 4 Stage Discharge'!E$26:F$126,MATCH(F709,'Step 4 Stage Discharge'!E$26:E$126,1)+1,2)-INDEX('Step 4 Stage Discharge'!E$26:F$126,MATCH(F709,'Step 4 Stage Discharge'!E$26:E$126,1),2))*(F709-INDEX('Step 4 Stage Discharge'!E$26:F$126,MATCH(F709,'Step 4 Stage Discharge'!E$26:E$126,1),1))/(INDEX('Step 4 Stage Discharge'!E$26:F$126,MATCH(F709,'Step 4 Stage Discharge'!E$26:E$126,1)+1,1)-INDEX('Step 4 Stage Discharge'!E$26:F$126,MATCH(F709,'Step 4 Stage Discharge'!E$26:E$126,1),1))</f>
        <v>0</v>
      </c>
      <c r="H709" s="149"/>
      <c r="I709" s="149">
        <f>INDEX('Step 4 Stage Discharge'!E$26:M$126,MATCH(F709,'Step 4 Stage Discharge'!E$26:E$126,1),9)+(INDEX('Step 4 Stage Discharge'!E$26:M$126,MATCH('Step 5 Routing'!F709,'Step 4 Stage Discharge'!E$26:E$126,1)+1,9)-INDEX('Step 4 Stage Discharge'!E$26:M$126,MATCH('Step 5 Routing'!F709,'Step 4 Stage Discharge'!E$26:E$126,1),9))*('Step 5 Routing'!F709-INDEX('Step 4 Stage Discharge'!E$26:M$126,MATCH('Step 5 Routing'!F709,'Step 4 Stage Discharge'!E$26:E$126,1),1))/(INDEX('Step 4 Stage Discharge'!E$26:M$126,MATCH('Step 5 Routing'!F709,'Step 4 Stage Discharge'!E$26:E$126,1)+1,1)-INDEX('Step 4 Stage Discharge'!E$26:M$126,MATCH('Step 5 Routing'!F709,'Step 4 Stage Discharge'!E$26:E$126,1),1))</f>
        <v>4.3639431710317386E-3</v>
      </c>
      <c r="J709" s="149"/>
      <c r="K709" s="6">
        <f t="shared" si="51"/>
        <v>0</v>
      </c>
      <c r="L709" s="6">
        <f t="shared" si="52"/>
        <v>0</v>
      </c>
    </row>
    <row r="710" spans="1:12">
      <c r="A710">
        <f t="shared" si="53"/>
        <v>697</v>
      </c>
      <c r="B710" s="136">
        <f>IF(C$5=Data!D$3,'Step 2 Inflow Hydrograph'!H754,IF(C$5=Data!D$4,'Step 2 Inflow Hydrograph'!I754,IF(C$5=Data!D$5,'Step 2 Inflow Hydrograph'!J754,'Step 2 Inflow Hydrograph'!K754)))</f>
        <v>0</v>
      </c>
      <c r="C710" s="127"/>
      <c r="D710" s="6">
        <f t="shared" si="50"/>
        <v>0</v>
      </c>
      <c r="E710" s="6"/>
      <c r="F710" s="6">
        <f t="shared" si="54"/>
        <v>0</v>
      </c>
      <c r="G710" s="149">
        <f>INDEX('Step 4 Stage Discharge'!E$26:F$126,MATCH(F710,'Step 4 Stage Discharge'!E$26:E$126,1),2)+(INDEX('Step 4 Stage Discharge'!E$26:F$126,MATCH(F710,'Step 4 Stage Discharge'!E$26:E$126,1)+1,2)-INDEX('Step 4 Stage Discharge'!E$26:F$126,MATCH(F710,'Step 4 Stage Discharge'!E$26:E$126,1),2))*(F710-INDEX('Step 4 Stage Discharge'!E$26:F$126,MATCH(F710,'Step 4 Stage Discharge'!E$26:E$126,1),1))/(INDEX('Step 4 Stage Discharge'!E$26:F$126,MATCH(F710,'Step 4 Stage Discharge'!E$26:E$126,1)+1,1)-INDEX('Step 4 Stage Discharge'!E$26:F$126,MATCH(F710,'Step 4 Stage Discharge'!E$26:E$126,1),1))</f>
        <v>0</v>
      </c>
      <c r="H710" s="149"/>
      <c r="I710" s="149">
        <f>INDEX('Step 4 Stage Discharge'!E$26:M$126,MATCH(F710,'Step 4 Stage Discharge'!E$26:E$126,1),9)+(INDEX('Step 4 Stage Discharge'!E$26:M$126,MATCH('Step 5 Routing'!F710,'Step 4 Stage Discharge'!E$26:E$126,1)+1,9)-INDEX('Step 4 Stage Discharge'!E$26:M$126,MATCH('Step 5 Routing'!F710,'Step 4 Stage Discharge'!E$26:E$126,1),9))*('Step 5 Routing'!F710-INDEX('Step 4 Stage Discharge'!E$26:M$126,MATCH('Step 5 Routing'!F710,'Step 4 Stage Discharge'!E$26:E$126,1),1))/(INDEX('Step 4 Stage Discharge'!E$26:M$126,MATCH('Step 5 Routing'!F710,'Step 4 Stage Discharge'!E$26:E$126,1)+1,1)-INDEX('Step 4 Stage Discharge'!E$26:M$126,MATCH('Step 5 Routing'!F710,'Step 4 Stage Discharge'!E$26:E$126,1),1))</f>
        <v>4.3639431710317386E-3</v>
      </c>
      <c r="J710" s="149"/>
      <c r="K710" s="6">
        <f t="shared" si="51"/>
        <v>0</v>
      </c>
      <c r="L710" s="6">
        <f t="shared" si="52"/>
        <v>0</v>
      </c>
    </row>
    <row r="711" spans="1:12">
      <c r="A711">
        <f t="shared" si="53"/>
        <v>698</v>
      </c>
      <c r="B711" s="136">
        <f>IF(C$5=Data!D$3,'Step 2 Inflow Hydrograph'!H755,IF(C$5=Data!D$4,'Step 2 Inflow Hydrograph'!I755,IF(C$5=Data!D$5,'Step 2 Inflow Hydrograph'!J755,'Step 2 Inflow Hydrograph'!K755)))</f>
        <v>0</v>
      </c>
      <c r="C711" s="127"/>
      <c r="D711" s="6">
        <f t="shared" si="50"/>
        <v>0</v>
      </c>
      <c r="E711" s="6"/>
      <c r="F711" s="6">
        <f t="shared" si="54"/>
        <v>0</v>
      </c>
      <c r="G711" s="149">
        <f>INDEX('Step 4 Stage Discharge'!E$26:F$126,MATCH(F711,'Step 4 Stage Discharge'!E$26:E$126,1),2)+(INDEX('Step 4 Stage Discharge'!E$26:F$126,MATCH(F711,'Step 4 Stage Discharge'!E$26:E$126,1)+1,2)-INDEX('Step 4 Stage Discharge'!E$26:F$126,MATCH(F711,'Step 4 Stage Discharge'!E$26:E$126,1),2))*(F711-INDEX('Step 4 Stage Discharge'!E$26:F$126,MATCH(F711,'Step 4 Stage Discharge'!E$26:E$126,1),1))/(INDEX('Step 4 Stage Discharge'!E$26:F$126,MATCH(F711,'Step 4 Stage Discharge'!E$26:E$126,1)+1,1)-INDEX('Step 4 Stage Discharge'!E$26:F$126,MATCH(F711,'Step 4 Stage Discharge'!E$26:E$126,1),1))</f>
        <v>0</v>
      </c>
      <c r="H711" s="149"/>
      <c r="I711" s="149">
        <f>INDEX('Step 4 Stage Discharge'!E$26:M$126,MATCH(F711,'Step 4 Stage Discharge'!E$26:E$126,1),9)+(INDEX('Step 4 Stage Discharge'!E$26:M$126,MATCH('Step 5 Routing'!F711,'Step 4 Stage Discharge'!E$26:E$126,1)+1,9)-INDEX('Step 4 Stage Discharge'!E$26:M$126,MATCH('Step 5 Routing'!F711,'Step 4 Stage Discharge'!E$26:E$126,1),9))*('Step 5 Routing'!F711-INDEX('Step 4 Stage Discharge'!E$26:M$126,MATCH('Step 5 Routing'!F711,'Step 4 Stage Discharge'!E$26:E$126,1),1))/(INDEX('Step 4 Stage Discharge'!E$26:M$126,MATCH('Step 5 Routing'!F711,'Step 4 Stage Discharge'!E$26:E$126,1)+1,1)-INDEX('Step 4 Stage Discharge'!E$26:M$126,MATCH('Step 5 Routing'!F711,'Step 4 Stage Discharge'!E$26:E$126,1),1))</f>
        <v>4.3639431710317386E-3</v>
      </c>
      <c r="J711" s="149"/>
      <c r="K711" s="6">
        <f t="shared" si="51"/>
        <v>0</v>
      </c>
      <c r="L711" s="6">
        <f t="shared" si="52"/>
        <v>0</v>
      </c>
    </row>
    <row r="712" spans="1:12">
      <c r="A712">
        <f t="shared" si="53"/>
        <v>699</v>
      </c>
      <c r="B712" s="136">
        <f>IF(C$5=Data!D$3,'Step 2 Inflow Hydrograph'!H756,IF(C$5=Data!D$4,'Step 2 Inflow Hydrograph'!I756,IF(C$5=Data!D$5,'Step 2 Inflow Hydrograph'!J756,'Step 2 Inflow Hydrograph'!K756)))</f>
        <v>0</v>
      </c>
      <c r="C712" s="127"/>
      <c r="D712" s="6">
        <f t="shared" si="50"/>
        <v>0</v>
      </c>
      <c r="E712" s="6"/>
      <c r="F712" s="6">
        <f t="shared" si="54"/>
        <v>0</v>
      </c>
      <c r="G712" s="149">
        <f>INDEX('Step 4 Stage Discharge'!E$26:F$126,MATCH(F712,'Step 4 Stage Discharge'!E$26:E$126,1),2)+(INDEX('Step 4 Stage Discharge'!E$26:F$126,MATCH(F712,'Step 4 Stage Discharge'!E$26:E$126,1)+1,2)-INDEX('Step 4 Stage Discharge'!E$26:F$126,MATCH(F712,'Step 4 Stage Discharge'!E$26:E$126,1),2))*(F712-INDEX('Step 4 Stage Discharge'!E$26:F$126,MATCH(F712,'Step 4 Stage Discharge'!E$26:E$126,1),1))/(INDEX('Step 4 Stage Discharge'!E$26:F$126,MATCH(F712,'Step 4 Stage Discharge'!E$26:E$126,1)+1,1)-INDEX('Step 4 Stage Discharge'!E$26:F$126,MATCH(F712,'Step 4 Stage Discharge'!E$26:E$126,1),1))</f>
        <v>0</v>
      </c>
      <c r="H712" s="149"/>
      <c r="I712" s="149">
        <f>INDEX('Step 4 Stage Discharge'!E$26:M$126,MATCH(F712,'Step 4 Stage Discharge'!E$26:E$126,1),9)+(INDEX('Step 4 Stage Discharge'!E$26:M$126,MATCH('Step 5 Routing'!F712,'Step 4 Stage Discharge'!E$26:E$126,1)+1,9)-INDEX('Step 4 Stage Discharge'!E$26:M$126,MATCH('Step 5 Routing'!F712,'Step 4 Stage Discharge'!E$26:E$126,1),9))*('Step 5 Routing'!F712-INDEX('Step 4 Stage Discharge'!E$26:M$126,MATCH('Step 5 Routing'!F712,'Step 4 Stage Discharge'!E$26:E$126,1),1))/(INDEX('Step 4 Stage Discharge'!E$26:M$126,MATCH('Step 5 Routing'!F712,'Step 4 Stage Discharge'!E$26:E$126,1)+1,1)-INDEX('Step 4 Stage Discharge'!E$26:M$126,MATCH('Step 5 Routing'!F712,'Step 4 Stage Discharge'!E$26:E$126,1),1))</f>
        <v>4.3639431710317386E-3</v>
      </c>
      <c r="J712" s="149"/>
      <c r="K712" s="6">
        <f t="shared" si="51"/>
        <v>0</v>
      </c>
      <c r="L712" s="6">
        <f t="shared" si="52"/>
        <v>0</v>
      </c>
    </row>
    <row r="713" spans="1:12">
      <c r="A713">
        <f t="shared" si="53"/>
        <v>700</v>
      </c>
      <c r="B713" s="136">
        <f>IF(C$5=Data!D$3,'Step 2 Inflow Hydrograph'!H757,IF(C$5=Data!D$4,'Step 2 Inflow Hydrograph'!I757,IF(C$5=Data!D$5,'Step 2 Inflow Hydrograph'!J757,'Step 2 Inflow Hydrograph'!K757)))</f>
        <v>0</v>
      </c>
      <c r="C713" s="127"/>
      <c r="D713" s="6">
        <f t="shared" si="50"/>
        <v>0</v>
      </c>
      <c r="E713" s="6"/>
      <c r="F713" s="6">
        <f t="shared" si="54"/>
        <v>0</v>
      </c>
      <c r="G713" s="149">
        <f>INDEX('Step 4 Stage Discharge'!E$26:F$126,MATCH(F713,'Step 4 Stage Discharge'!E$26:E$126,1),2)+(INDEX('Step 4 Stage Discharge'!E$26:F$126,MATCH(F713,'Step 4 Stage Discharge'!E$26:E$126,1)+1,2)-INDEX('Step 4 Stage Discharge'!E$26:F$126,MATCH(F713,'Step 4 Stage Discharge'!E$26:E$126,1),2))*(F713-INDEX('Step 4 Stage Discharge'!E$26:F$126,MATCH(F713,'Step 4 Stage Discharge'!E$26:E$126,1),1))/(INDEX('Step 4 Stage Discharge'!E$26:F$126,MATCH(F713,'Step 4 Stage Discharge'!E$26:E$126,1)+1,1)-INDEX('Step 4 Stage Discharge'!E$26:F$126,MATCH(F713,'Step 4 Stage Discharge'!E$26:E$126,1),1))</f>
        <v>0</v>
      </c>
      <c r="H713" s="149"/>
      <c r="I713" s="149">
        <f>INDEX('Step 4 Stage Discharge'!E$26:M$126,MATCH(F713,'Step 4 Stage Discharge'!E$26:E$126,1),9)+(INDEX('Step 4 Stage Discharge'!E$26:M$126,MATCH('Step 5 Routing'!F713,'Step 4 Stage Discharge'!E$26:E$126,1)+1,9)-INDEX('Step 4 Stage Discharge'!E$26:M$126,MATCH('Step 5 Routing'!F713,'Step 4 Stage Discharge'!E$26:E$126,1),9))*('Step 5 Routing'!F713-INDEX('Step 4 Stage Discharge'!E$26:M$126,MATCH('Step 5 Routing'!F713,'Step 4 Stage Discharge'!E$26:E$126,1),1))/(INDEX('Step 4 Stage Discharge'!E$26:M$126,MATCH('Step 5 Routing'!F713,'Step 4 Stage Discharge'!E$26:E$126,1)+1,1)-INDEX('Step 4 Stage Discharge'!E$26:M$126,MATCH('Step 5 Routing'!F713,'Step 4 Stage Discharge'!E$26:E$126,1),1))</f>
        <v>4.3639431710317386E-3</v>
      </c>
      <c r="J713" s="149"/>
      <c r="K713" s="6">
        <f t="shared" si="51"/>
        <v>0</v>
      </c>
      <c r="L713" s="6">
        <f t="shared" si="52"/>
        <v>0</v>
      </c>
    </row>
    <row r="714" spans="1:12">
      <c r="A714">
        <f t="shared" si="53"/>
        <v>701</v>
      </c>
      <c r="B714" s="136">
        <f>IF(C$5=Data!D$3,'Step 2 Inflow Hydrograph'!H758,IF(C$5=Data!D$4,'Step 2 Inflow Hydrograph'!I758,IF(C$5=Data!D$5,'Step 2 Inflow Hydrograph'!J758,'Step 2 Inflow Hydrograph'!K758)))</f>
        <v>0</v>
      </c>
      <c r="C714" s="127"/>
      <c r="D714" s="6">
        <f t="shared" si="50"/>
        <v>0</v>
      </c>
      <c r="E714" s="6"/>
      <c r="F714" s="6">
        <f t="shared" si="54"/>
        <v>0</v>
      </c>
      <c r="G714" s="149">
        <f>INDEX('Step 4 Stage Discharge'!E$26:F$126,MATCH(F714,'Step 4 Stage Discharge'!E$26:E$126,1),2)+(INDEX('Step 4 Stage Discharge'!E$26:F$126,MATCH(F714,'Step 4 Stage Discharge'!E$26:E$126,1)+1,2)-INDEX('Step 4 Stage Discharge'!E$26:F$126,MATCH(F714,'Step 4 Stage Discharge'!E$26:E$126,1),2))*(F714-INDEX('Step 4 Stage Discharge'!E$26:F$126,MATCH(F714,'Step 4 Stage Discharge'!E$26:E$126,1),1))/(INDEX('Step 4 Stage Discharge'!E$26:F$126,MATCH(F714,'Step 4 Stage Discharge'!E$26:E$126,1)+1,1)-INDEX('Step 4 Stage Discharge'!E$26:F$126,MATCH(F714,'Step 4 Stage Discharge'!E$26:E$126,1),1))</f>
        <v>0</v>
      </c>
      <c r="H714" s="149"/>
      <c r="I714" s="149">
        <f>INDEX('Step 4 Stage Discharge'!E$26:M$126,MATCH(F714,'Step 4 Stage Discharge'!E$26:E$126,1),9)+(INDEX('Step 4 Stage Discharge'!E$26:M$126,MATCH('Step 5 Routing'!F714,'Step 4 Stage Discharge'!E$26:E$126,1)+1,9)-INDEX('Step 4 Stage Discharge'!E$26:M$126,MATCH('Step 5 Routing'!F714,'Step 4 Stage Discharge'!E$26:E$126,1),9))*('Step 5 Routing'!F714-INDEX('Step 4 Stage Discharge'!E$26:M$126,MATCH('Step 5 Routing'!F714,'Step 4 Stage Discharge'!E$26:E$126,1),1))/(INDEX('Step 4 Stage Discharge'!E$26:M$126,MATCH('Step 5 Routing'!F714,'Step 4 Stage Discharge'!E$26:E$126,1)+1,1)-INDEX('Step 4 Stage Discharge'!E$26:M$126,MATCH('Step 5 Routing'!F714,'Step 4 Stage Discharge'!E$26:E$126,1),1))</f>
        <v>4.3639431710317386E-3</v>
      </c>
      <c r="J714" s="149"/>
      <c r="K714" s="6">
        <f t="shared" si="51"/>
        <v>0</v>
      </c>
      <c r="L714" s="6">
        <f t="shared" si="52"/>
        <v>0</v>
      </c>
    </row>
    <row r="715" spans="1:12">
      <c r="A715">
        <f t="shared" si="53"/>
        <v>702</v>
      </c>
      <c r="B715" s="136">
        <f>IF(C$5=Data!D$3,'Step 2 Inflow Hydrograph'!H759,IF(C$5=Data!D$4,'Step 2 Inflow Hydrograph'!I759,IF(C$5=Data!D$5,'Step 2 Inflow Hydrograph'!J759,'Step 2 Inflow Hydrograph'!K759)))</f>
        <v>0</v>
      </c>
      <c r="C715" s="127"/>
      <c r="D715" s="6">
        <f t="shared" si="50"/>
        <v>0</v>
      </c>
      <c r="E715" s="6"/>
      <c r="F715" s="6">
        <f t="shared" si="54"/>
        <v>0</v>
      </c>
      <c r="G715" s="149">
        <f>INDEX('Step 4 Stage Discharge'!E$26:F$126,MATCH(F715,'Step 4 Stage Discharge'!E$26:E$126,1),2)+(INDEX('Step 4 Stage Discharge'!E$26:F$126,MATCH(F715,'Step 4 Stage Discharge'!E$26:E$126,1)+1,2)-INDEX('Step 4 Stage Discharge'!E$26:F$126,MATCH(F715,'Step 4 Stage Discharge'!E$26:E$126,1),2))*(F715-INDEX('Step 4 Stage Discharge'!E$26:F$126,MATCH(F715,'Step 4 Stage Discharge'!E$26:E$126,1),1))/(INDEX('Step 4 Stage Discharge'!E$26:F$126,MATCH(F715,'Step 4 Stage Discharge'!E$26:E$126,1)+1,1)-INDEX('Step 4 Stage Discharge'!E$26:F$126,MATCH(F715,'Step 4 Stage Discharge'!E$26:E$126,1),1))</f>
        <v>0</v>
      </c>
      <c r="H715" s="149"/>
      <c r="I715" s="149">
        <f>INDEX('Step 4 Stage Discharge'!E$26:M$126,MATCH(F715,'Step 4 Stage Discharge'!E$26:E$126,1),9)+(INDEX('Step 4 Stage Discharge'!E$26:M$126,MATCH('Step 5 Routing'!F715,'Step 4 Stage Discharge'!E$26:E$126,1)+1,9)-INDEX('Step 4 Stage Discharge'!E$26:M$126,MATCH('Step 5 Routing'!F715,'Step 4 Stage Discharge'!E$26:E$126,1),9))*('Step 5 Routing'!F715-INDEX('Step 4 Stage Discharge'!E$26:M$126,MATCH('Step 5 Routing'!F715,'Step 4 Stage Discharge'!E$26:E$126,1),1))/(INDEX('Step 4 Stage Discharge'!E$26:M$126,MATCH('Step 5 Routing'!F715,'Step 4 Stage Discharge'!E$26:E$126,1)+1,1)-INDEX('Step 4 Stage Discharge'!E$26:M$126,MATCH('Step 5 Routing'!F715,'Step 4 Stage Discharge'!E$26:E$126,1),1))</f>
        <v>4.3639431710317386E-3</v>
      </c>
      <c r="J715" s="149"/>
      <c r="K715" s="6">
        <f t="shared" si="51"/>
        <v>0</v>
      </c>
      <c r="L715" s="6">
        <f t="shared" si="52"/>
        <v>0</v>
      </c>
    </row>
    <row r="716" spans="1:12">
      <c r="A716">
        <f t="shared" si="53"/>
        <v>703</v>
      </c>
      <c r="B716" s="136">
        <f>IF(C$5=Data!D$3,'Step 2 Inflow Hydrograph'!H760,IF(C$5=Data!D$4,'Step 2 Inflow Hydrograph'!I760,IF(C$5=Data!D$5,'Step 2 Inflow Hydrograph'!J760,'Step 2 Inflow Hydrograph'!K760)))</f>
        <v>0</v>
      </c>
      <c r="C716" s="127"/>
      <c r="D716" s="6">
        <f t="shared" si="50"/>
        <v>0</v>
      </c>
      <c r="E716" s="6"/>
      <c r="F716" s="6">
        <f t="shared" si="54"/>
        <v>0</v>
      </c>
      <c r="G716" s="149">
        <f>INDEX('Step 4 Stage Discharge'!E$26:F$126,MATCH(F716,'Step 4 Stage Discharge'!E$26:E$126,1),2)+(INDEX('Step 4 Stage Discharge'!E$26:F$126,MATCH(F716,'Step 4 Stage Discharge'!E$26:E$126,1)+1,2)-INDEX('Step 4 Stage Discharge'!E$26:F$126,MATCH(F716,'Step 4 Stage Discharge'!E$26:E$126,1),2))*(F716-INDEX('Step 4 Stage Discharge'!E$26:F$126,MATCH(F716,'Step 4 Stage Discharge'!E$26:E$126,1),1))/(INDEX('Step 4 Stage Discharge'!E$26:F$126,MATCH(F716,'Step 4 Stage Discharge'!E$26:E$126,1)+1,1)-INDEX('Step 4 Stage Discharge'!E$26:F$126,MATCH(F716,'Step 4 Stage Discharge'!E$26:E$126,1),1))</f>
        <v>0</v>
      </c>
      <c r="H716" s="149"/>
      <c r="I716" s="149">
        <f>INDEX('Step 4 Stage Discharge'!E$26:M$126,MATCH(F716,'Step 4 Stage Discharge'!E$26:E$126,1),9)+(INDEX('Step 4 Stage Discharge'!E$26:M$126,MATCH('Step 5 Routing'!F716,'Step 4 Stage Discharge'!E$26:E$126,1)+1,9)-INDEX('Step 4 Stage Discharge'!E$26:M$126,MATCH('Step 5 Routing'!F716,'Step 4 Stage Discharge'!E$26:E$126,1),9))*('Step 5 Routing'!F716-INDEX('Step 4 Stage Discharge'!E$26:M$126,MATCH('Step 5 Routing'!F716,'Step 4 Stage Discharge'!E$26:E$126,1),1))/(INDEX('Step 4 Stage Discharge'!E$26:M$126,MATCH('Step 5 Routing'!F716,'Step 4 Stage Discharge'!E$26:E$126,1)+1,1)-INDEX('Step 4 Stage Discharge'!E$26:M$126,MATCH('Step 5 Routing'!F716,'Step 4 Stage Discharge'!E$26:E$126,1),1))</f>
        <v>4.3639431710317386E-3</v>
      </c>
      <c r="J716" s="149"/>
      <c r="K716" s="6">
        <f t="shared" si="51"/>
        <v>0</v>
      </c>
      <c r="L716" s="6">
        <f t="shared" si="52"/>
        <v>0</v>
      </c>
    </row>
    <row r="717" spans="1:12">
      <c r="A717">
        <f t="shared" si="53"/>
        <v>704</v>
      </c>
      <c r="B717" s="136">
        <f>IF(C$5=Data!D$3,'Step 2 Inflow Hydrograph'!H761,IF(C$5=Data!D$4,'Step 2 Inflow Hydrograph'!I761,IF(C$5=Data!D$5,'Step 2 Inflow Hydrograph'!J761,'Step 2 Inflow Hydrograph'!K761)))</f>
        <v>0</v>
      </c>
      <c r="C717" s="127"/>
      <c r="D717" s="6">
        <f t="shared" ref="D717:D780" si="55">IF(B717="",0,B717*D$8*60)</f>
        <v>0</v>
      </c>
      <c r="E717" s="6"/>
      <c r="F717" s="6">
        <f t="shared" si="54"/>
        <v>0</v>
      </c>
      <c r="G717" s="149">
        <f>INDEX('Step 4 Stage Discharge'!E$26:F$126,MATCH(F717,'Step 4 Stage Discharge'!E$26:E$126,1),2)+(INDEX('Step 4 Stage Discharge'!E$26:F$126,MATCH(F717,'Step 4 Stage Discharge'!E$26:E$126,1)+1,2)-INDEX('Step 4 Stage Discharge'!E$26:F$126,MATCH(F717,'Step 4 Stage Discharge'!E$26:E$126,1),2))*(F717-INDEX('Step 4 Stage Discharge'!E$26:F$126,MATCH(F717,'Step 4 Stage Discharge'!E$26:E$126,1),1))/(INDEX('Step 4 Stage Discharge'!E$26:F$126,MATCH(F717,'Step 4 Stage Discharge'!E$26:E$126,1)+1,1)-INDEX('Step 4 Stage Discharge'!E$26:F$126,MATCH(F717,'Step 4 Stage Discharge'!E$26:E$126,1),1))</f>
        <v>0</v>
      </c>
      <c r="H717" s="149"/>
      <c r="I717" s="149">
        <f>INDEX('Step 4 Stage Discharge'!E$26:M$126,MATCH(F717,'Step 4 Stage Discharge'!E$26:E$126,1),9)+(INDEX('Step 4 Stage Discharge'!E$26:M$126,MATCH('Step 5 Routing'!F717,'Step 4 Stage Discharge'!E$26:E$126,1)+1,9)-INDEX('Step 4 Stage Discharge'!E$26:M$126,MATCH('Step 5 Routing'!F717,'Step 4 Stage Discharge'!E$26:E$126,1),9))*('Step 5 Routing'!F717-INDEX('Step 4 Stage Discharge'!E$26:M$126,MATCH('Step 5 Routing'!F717,'Step 4 Stage Discharge'!E$26:E$126,1),1))/(INDEX('Step 4 Stage Discharge'!E$26:M$126,MATCH('Step 5 Routing'!F717,'Step 4 Stage Discharge'!E$26:E$126,1)+1,1)-INDEX('Step 4 Stage Discharge'!E$26:M$126,MATCH('Step 5 Routing'!F717,'Step 4 Stage Discharge'!E$26:E$126,1),1))</f>
        <v>4.3639431710317386E-3</v>
      </c>
      <c r="J717" s="149"/>
      <c r="K717" s="6">
        <f t="shared" ref="K717:K780" si="56">IF(I717*60*D$8&gt;F717,F717,I717*60*D$8)</f>
        <v>0</v>
      </c>
      <c r="L717" s="6">
        <f t="shared" ref="L717:L780" si="57">IF(F717-K717&lt;0,0,F717-K717)</f>
        <v>0</v>
      </c>
    </row>
    <row r="718" spans="1:12">
      <c r="A718">
        <f t="shared" ref="A718:A781" si="58">+A717+D$8</f>
        <v>705</v>
      </c>
      <c r="B718" s="136">
        <f>IF(C$5=Data!D$3,'Step 2 Inflow Hydrograph'!H762,IF(C$5=Data!D$4,'Step 2 Inflow Hydrograph'!I762,IF(C$5=Data!D$5,'Step 2 Inflow Hydrograph'!J762,'Step 2 Inflow Hydrograph'!K762)))</f>
        <v>0</v>
      </c>
      <c r="C718" s="127"/>
      <c r="D718" s="6">
        <f t="shared" si="55"/>
        <v>0</v>
      </c>
      <c r="E718" s="6"/>
      <c r="F718" s="6">
        <f t="shared" ref="F718:F781" si="59">+L717+D718</f>
        <v>0</v>
      </c>
      <c r="G718" s="149">
        <f>INDEX('Step 4 Stage Discharge'!E$26:F$126,MATCH(F718,'Step 4 Stage Discharge'!E$26:E$126,1),2)+(INDEX('Step 4 Stage Discharge'!E$26:F$126,MATCH(F718,'Step 4 Stage Discharge'!E$26:E$126,1)+1,2)-INDEX('Step 4 Stage Discharge'!E$26:F$126,MATCH(F718,'Step 4 Stage Discharge'!E$26:E$126,1),2))*(F718-INDEX('Step 4 Stage Discharge'!E$26:F$126,MATCH(F718,'Step 4 Stage Discharge'!E$26:E$126,1),1))/(INDEX('Step 4 Stage Discharge'!E$26:F$126,MATCH(F718,'Step 4 Stage Discharge'!E$26:E$126,1)+1,1)-INDEX('Step 4 Stage Discharge'!E$26:F$126,MATCH(F718,'Step 4 Stage Discharge'!E$26:E$126,1),1))</f>
        <v>0</v>
      </c>
      <c r="H718" s="149"/>
      <c r="I718" s="149">
        <f>INDEX('Step 4 Stage Discharge'!E$26:M$126,MATCH(F718,'Step 4 Stage Discharge'!E$26:E$126,1),9)+(INDEX('Step 4 Stage Discharge'!E$26:M$126,MATCH('Step 5 Routing'!F718,'Step 4 Stage Discharge'!E$26:E$126,1)+1,9)-INDEX('Step 4 Stage Discharge'!E$26:M$126,MATCH('Step 5 Routing'!F718,'Step 4 Stage Discharge'!E$26:E$126,1),9))*('Step 5 Routing'!F718-INDEX('Step 4 Stage Discharge'!E$26:M$126,MATCH('Step 5 Routing'!F718,'Step 4 Stage Discharge'!E$26:E$126,1),1))/(INDEX('Step 4 Stage Discharge'!E$26:M$126,MATCH('Step 5 Routing'!F718,'Step 4 Stage Discharge'!E$26:E$126,1)+1,1)-INDEX('Step 4 Stage Discharge'!E$26:M$126,MATCH('Step 5 Routing'!F718,'Step 4 Stage Discharge'!E$26:E$126,1),1))</f>
        <v>4.3639431710317386E-3</v>
      </c>
      <c r="J718" s="149"/>
      <c r="K718" s="6">
        <f t="shared" si="56"/>
        <v>0</v>
      </c>
      <c r="L718" s="6">
        <f t="shared" si="57"/>
        <v>0</v>
      </c>
    </row>
    <row r="719" spans="1:12">
      <c r="A719">
        <f t="shared" si="58"/>
        <v>706</v>
      </c>
      <c r="B719" s="136">
        <f>IF(C$5=Data!D$3,'Step 2 Inflow Hydrograph'!H763,IF(C$5=Data!D$4,'Step 2 Inflow Hydrograph'!I763,IF(C$5=Data!D$5,'Step 2 Inflow Hydrograph'!J763,'Step 2 Inflow Hydrograph'!K763)))</f>
        <v>0</v>
      </c>
      <c r="C719" s="127"/>
      <c r="D719" s="6">
        <f t="shared" si="55"/>
        <v>0</v>
      </c>
      <c r="E719" s="6"/>
      <c r="F719" s="6">
        <f t="shared" si="59"/>
        <v>0</v>
      </c>
      <c r="G719" s="149">
        <f>INDEX('Step 4 Stage Discharge'!E$26:F$126,MATCH(F719,'Step 4 Stage Discharge'!E$26:E$126,1),2)+(INDEX('Step 4 Stage Discharge'!E$26:F$126,MATCH(F719,'Step 4 Stage Discharge'!E$26:E$126,1)+1,2)-INDEX('Step 4 Stage Discharge'!E$26:F$126,MATCH(F719,'Step 4 Stage Discharge'!E$26:E$126,1),2))*(F719-INDEX('Step 4 Stage Discharge'!E$26:F$126,MATCH(F719,'Step 4 Stage Discharge'!E$26:E$126,1),1))/(INDEX('Step 4 Stage Discharge'!E$26:F$126,MATCH(F719,'Step 4 Stage Discharge'!E$26:E$126,1)+1,1)-INDEX('Step 4 Stage Discharge'!E$26:F$126,MATCH(F719,'Step 4 Stage Discharge'!E$26:E$126,1),1))</f>
        <v>0</v>
      </c>
      <c r="H719" s="149"/>
      <c r="I719" s="149">
        <f>INDEX('Step 4 Stage Discharge'!E$26:M$126,MATCH(F719,'Step 4 Stage Discharge'!E$26:E$126,1),9)+(INDEX('Step 4 Stage Discharge'!E$26:M$126,MATCH('Step 5 Routing'!F719,'Step 4 Stage Discharge'!E$26:E$126,1)+1,9)-INDEX('Step 4 Stage Discharge'!E$26:M$126,MATCH('Step 5 Routing'!F719,'Step 4 Stage Discharge'!E$26:E$126,1),9))*('Step 5 Routing'!F719-INDEX('Step 4 Stage Discharge'!E$26:M$126,MATCH('Step 5 Routing'!F719,'Step 4 Stage Discharge'!E$26:E$126,1),1))/(INDEX('Step 4 Stage Discharge'!E$26:M$126,MATCH('Step 5 Routing'!F719,'Step 4 Stage Discharge'!E$26:E$126,1)+1,1)-INDEX('Step 4 Stage Discharge'!E$26:M$126,MATCH('Step 5 Routing'!F719,'Step 4 Stage Discharge'!E$26:E$126,1),1))</f>
        <v>4.3639431710317386E-3</v>
      </c>
      <c r="J719" s="149"/>
      <c r="K719" s="6">
        <f t="shared" si="56"/>
        <v>0</v>
      </c>
      <c r="L719" s="6">
        <f t="shared" si="57"/>
        <v>0</v>
      </c>
    </row>
    <row r="720" spans="1:12">
      <c r="A720">
        <f t="shared" si="58"/>
        <v>707</v>
      </c>
      <c r="B720" s="136">
        <f>IF(C$5=Data!D$3,'Step 2 Inflow Hydrograph'!H764,IF(C$5=Data!D$4,'Step 2 Inflow Hydrograph'!I764,IF(C$5=Data!D$5,'Step 2 Inflow Hydrograph'!J764,'Step 2 Inflow Hydrograph'!K764)))</f>
        <v>0</v>
      </c>
      <c r="C720" s="127"/>
      <c r="D720" s="6">
        <f t="shared" si="55"/>
        <v>0</v>
      </c>
      <c r="E720" s="6"/>
      <c r="F720" s="6">
        <f t="shared" si="59"/>
        <v>0</v>
      </c>
      <c r="G720" s="149">
        <f>INDEX('Step 4 Stage Discharge'!E$26:F$126,MATCH(F720,'Step 4 Stage Discharge'!E$26:E$126,1),2)+(INDEX('Step 4 Stage Discharge'!E$26:F$126,MATCH(F720,'Step 4 Stage Discharge'!E$26:E$126,1)+1,2)-INDEX('Step 4 Stage Discharge'!E$26:F$126,MATCH(F720,'Step 4 Stage Discharge'!E$26:E$126,1),2))*(F720-INDEX('Step 4 Stage Discharge'!E$26:F$126,MATCH(F720,'Step 4 Stage Discharge'!E$26:E$126,1),1))/(INDEX('Step 4 Stage Discharge'!E$26:F$126,MATCH(F720,'Step 4 Stage Discharge'!E$26:E$126,1)+1,1)-INDEX('Step 4 Stage Discharge'!E$26:F$126,MATCH(F720,'Step 4 Stage Discharge'!E$26:E$126,1),1))</f>
        <v>0</v>
      </c>
      <c r="H720" s="149"/>
      <c r="I720" s="149">
        <f>INDEX('Step 4 Stage Discharge'!E$26:M$126,MATCH(F720,'Step 4 Stage Discharge'!E$26:E$126,1),9)+(INDEX('Step 4 Stage Discharge'!E$26:M$126,MATCH('Step 5 Routing'!F720,'Step 4 Stage Discharge'!E$26:E$126,1)+1,9)-INDEX('Step 4 Stage Discharge'!E$26:M$126,MATCH('Step 5 Routing'!F720,'Step 4 Stage Discharge'!E$26:E$126,1),9))*('Step 5 Routing'!F720-INDEX('Step 4 Stage Discharge'!E$26:M$126,MATCH('Step 5 Routing'!F720,'Step 4 Stage Discharge'!E$26:E$126,1),1))/(INDEX('Step 4 Stage Discharge'!E$26:M$126,MATCH('Step 5 Routing'!F720,'Step 4 Stage Discharge'!E$26:E$126,1)+1,1)-INDEX('Step 4 Stage Discharge'!E$26:M$126,MATCH('Step 5 Routing'!F720,'Step 4 Stage Discharge'!E$26:E$126,1),1))</f>
        <v>4.3639431710317386E-3</v>
      </c>
      <c r="J720" s="149"/>
      <c r="K720" s="6">
        <f t="shared" si="56"/>
        <v>0</v>
      </c>
      <c r="L720" s="6">
        <f t="shared" si="57"/>
        <v>0</v>
      </c>
    </row>
    <row r="721" spans="1:12">
      <c r="A721">
        <f t="shared" si="58"/>
        <v>708</v>
      </c>
      <c r="B721" s="136">
        <f>IF(C$5=Data!D$3,'Step 2 Inflow Hydrograph'!H765,IF(C$5=Data!D$4,'Step 2 Inflow Hydrograph'!I765,IF(C$5=Data!D$5,'Step 2 Inflow Hydrograph'!J765,'Step 2 Inflow Hydrograph'!K765)))</f>
        <v>0</v>
      </c>
      <c r="C721" s="127"/>
      <c r="D721" s="6">
        <f t="shared" si="55"/>
        <v>0</v>
      </c>
      <c r="E721" s="6"/>
      <c r="F721" s="6">
        <f t="shared" si="59"/>
        <v>0</v>
      </c>
      <c r="G721" s="149">
        <f>INDEX('Step 4 Stage Discharge'!E$26:F$126,MATCH(F721,'Step 4 Stage Discharge'!E$26:E$126,1),2)+(INDEX('Step 4 Stage Discharge'!E$26:F$126,MATCH(F721,'Step 4 Stage Discharge'!E$26:E$126,1)+1,2)-INDEX('Step 4 Stage Discharge'!E$26:F$126,MATCH(F721,'Step 4 Stage Discharge'!E$26:E$126,1),2))*(F721-INDEX('Step 4 Stage Discharge'!E$26:F$126,MATCH(F721,'Step 4 Stage Discharge'!E$26:E$126,1),1))/(INDEX('Step 4 Stage Discharge'!E$26:F$126,MATCH(F721,'Step 4 Stage Discharge'!E$26:E$126,1)+1,1)-INDEX('Step 4 Stage Discharge'!E$26:F$126,MATCH(F721,'Step 4 Stage Discharge'!E$26:E$126,1),1))</f>
        <v>0</v>
      </c>
      <c r="H721" s="149"/>
      <c r="I721" s="149">
        <f>INDEX('Step 4 Stage Discharge'!E$26:M$126,MATCH(F721,'Step 4 Stage Discharge'!E$26:E$126,1),9)+(INDEX('Step 4 Stage Discharge'!E$26:M$126,MATCH('Step 5 Routing'!F721,'Step 4 Stage Discharge'!E$26:E$126,1)+1,9)-INDEX('Step 4 Stage Discharge'!E$26:M$126,MATCH('Step 5 Routing'!F721,'Step 4 Stage Discharge'!E$26:E$126,1),9))*('Step 5 Routing'!F721-INDEX('Step 4 Stage Discharge'!E$26:M$126,MATCH('Step 5 Routing'!F721,'Step 4 Stage Discharge'!E$26:E$126,1),1))/(INDEX('Step 4 Stage Discharge'!E$26:M$126,MATCH('Step 5 Routing'!F721,'Step 4 Stage Discharge'!E$26:E$126,1)+1,1)-INDEX('Step 4 Stage Discharge'!E$26:M$126,MATCH('Step 5 Routing'!F721,'Step 4 Stage Discharge'!E$26:E$126,1),1))</f>
        <v>4.3639431710317386E-3</v>
      </c>
      <c r="J721" s="149"/>
      <c r="K721" s="6">
        <f t="shared" si="56"/>
        <v>0</v>
      </c>
      <c r="L721" s="6">
        <f t="shared" si="57"/>
        <v>0</v>
      </c>
    </row>
    <row r="722" spans="1:12">
      <c r="A722">
        <f t="shared" si="58"/>
        <v>709</v>
      </c>
      <c r="B722" s="136">
        <f>IF(C$5=Data!D$3,'Step 2 Inflow Hydrograph'!H766,IF(C$5=Data!D$4,'Step 2 Inflow Hydrograph'!I766,IF(C$5=Data!D$5,'Step 2 Inflow Hydrograph'!J766,'Step 2 Inflow Hydrograph'!K766)))</f>
        <v>0</v>
      </c>
      <c r="C722" s="127"/>
      <c r="D722" s="6">
        <f t="shared" si="55"/>
        <v>0</v>
      </c>
      <c r="E722" s="6"/>
      <c r="F722" s="6">
        <f t="shared" si="59"/>
        <v>0</v>
      </c>
      <c r="G722" s="149">
        <f>INDEX('Step 4 Stage Discharge'!E$26:F$126,MATCH(F722,'Step 4 Stage Discharge'!E$26:E$126,1),2)+(INDEX('Step 4 Stage Discharge'!E$26:F$126,MATCH(F722,'Step 4 Stage Discharge'!E$26:E$126,1)+1,2)-INDEX('Step 4 Stage Discharge'!E$26:F$126,MATCH(F722,'Step 4 Stage Discharge'!E$26:E$126,1),2))*(F722-INDEX('Step 4 Stage Discharge'!E$26:F$126,MATCH(F722,'Step 4 Stage Discharge'!E$26:E$126,1),1))/(INDEX('Step 4 Stage Discharge'!E$26:F$126,MATCH(F722,'Step 4 Stage Discharge'!E$26:E$126,1)+1,1)-INDEX('Step 4 Stage Discharge'!E$26:F$126,MATCH(F722,'Step 4 Stage Discharge'!E$26:E$126,1),1))</f>
        <v>0</v>
      </c>
      <c r="H722" s="149"/>
      <c r="I722" s="149">
        <f>INDEX('Step 4 Stage Discharge'!E$26:M$126,MATCH(F722,'Step 4 Stage Discharge'!E$26:E$126,1),9)+(INDEX('Step 4 Stage Discharge'!E$26:M$126,MATCH('Step 5 Routing'!F722,'Step 4 Stage Discharge'!E$26:E$126,1)+1,9)-INDEX('Step 4 Stage Discharge'!E$26:M$126,MATCH('Step 5 Routing'!F722,'Step 4 Stage Discharge'!E$26:E$126,1),9))*('Step 5 Routing'!F722-INDEX('Step 4 Stage Discharge'!E$26:M$126,MATCH('Step 5 Routing'!F722,'Step 4 Stage Discharge'!E$26:E$126,1),1))/(INDEX('Step 4 Stage Discharge'!E$26:M$126,MATCH('Step 5 Routing'!F722,'Step 4 Stage Discharge'!E$26:E$126,1)+1,1)-INDEX('Step 4 Stage Discharge'!E$26:M$126,MATCH('Step 5 Routing'!F722,'Step 4 Stage Discharge'!E$26:E$126,1),1))</f>
        <v>4.3639431710317386E-3</v>
      </c>
      <c r="J722" s="149"/>
      <c r="K722" s="6">
        <f t="shared" si="56"/>
        <v>0</v>
      </c>
      <c r="L722" s="6">
        <f t="shared" si="57"/>
        <v>0</v>
      </c>
    </row>
    <row r="723" spans="1:12">
      <c r="A723">
        <f t="shared" si="58"/>
        <v>710</v>
      </c>
      <c r="B723" s="136">
        <f>IF(C$5=Data!D$3,'Step 2 Inflow Hydrograph'!H767,IF(C$5=Data!D$4,'Step 2 Inflow Hydrograph'!I767,IF(C$5=Data!D$5,'Step 2 Inflow Hydrograph'!J767,'Step 2 Inflow Hydrograph'!K767)))</f>
        <v>0</v>
      </c>
      <c r="C723" s="127"/>
      <c r="D723" s="6">
        <f t="shared" si="55"/>
        <v>0</v>
      </c>
      <c r="E723" s="6"/>
      <c r="F723" s="6">
        <f t="shared" si="59"/>
        <v>0</v>
      </c>
      <c r="G723" s="149">
        <f>INDEX('Step 4 Stage Discharge'!E$26:F$126,MATCH(F723,'Step 4 Stage Discharge'!E$26:E$126,1),2)+(INDEX('Step 4 Stage Discharge'!E$26:F$126,MATCH(F723,'Step 4 Stage Discharge'!E$26:E$126,1)+1,2)-INDEX('Step 4 Stage Discharge'!E$26:F$126,MATCH(F723,'Step 4 Stage Discharge'!E$26:E$126,1),2))*(F723-INDEX('Step 4 Stage Discharge'!E$26:F$126,MATCH(F723,'Step 4 Stage Discharge'!E$26:E$126,1),1))/(INDEX('Step 4 Stage Discharge'!E$26:F$126,MATCH(F723,'Step 4 Stage Discharge'!E$26:E$126,1)+1,1)-INDEX('Step 4 Stage Discharge'!E$26:F$126,MATCH(F723,'Step 4 Stage Discharge'!E$26:E$126,1),1))</f>
        <v>0</v>
      </c>
      <c r="H723" s="149"/>
      <c r="I723" s="149">
        <f>INDEX('Step 4 Stage Discharge'!E$26:M$126,MATCH(F723,'Step 4 Stage Discharge'!E$26:E$126,1),9)+(INDEX('Step 4 Stage Discharge'!E$26:M$126,MATCH('Step 5 Routing'!F723,'Step 4 Stage Discharge'!E$26:E$126,1)+1,9)-INDEX('Step 4 Stage Discharge'!E$26:M$126,MATCH('Step 5 Routing'!F723,'Step 4 Stage Discharge'!E$26:E$126,1),9))*('Step 5 Routing'!F723-INDEX('Step 4 Stage Discharge'!E$26:M$126,MATCH('Step 5 Routing'!F723,'Step 4 Stage Discharge'!E$26:E$126,1),1))/(INDEX('Step 4 Stage Discharge'!E$26:M$126,MATCH('Step 5 Routing'!F723,'Step 4 Stage Discharge'!E$26:E$126,1)+1,1)-INDEX('Step 4 Stage Discharge'!E$26:M$126,MATCH('Step 5 Routing'!F723,'Step 4 Stage Discharge'!E$26:E$126,1),1))</f>
        <v>4.3639431710317386E-3</v>
      </c>
      <c r="J723" s="149"/>
      <c r="K723" s="6">
        <f t="shared" si="56"/>
        <v>0</v>
      </c>
      <c r="L723" s="6">
        <f t="shared" si="57"/>
        <v>0</v>
      </c>
    </row>
    <row r="724" spans="1:12">
      <c r="A724">
        <f t="shared" si="58"/>
        <v>711</v>
      </c>
      <c r="B724" s="136">
        <f>IF(C$5=Data!D$3,'Step 2 Inflow Hydrograph'!H768,IF(C$5=Data!D$4,'Step 2 Inflow Hydrograph'!I768,IF(C$5=Data!D$5,'Step 2 Inflow Hydrograph'!J768,'Step 2 Inflow Hydrograph'!K768)))</f>
        <v>0</v>
      </c>
      <c r="C724" s="127"/>
      <c r="D724" s="6">
        <f t="shared" si="55"/>
        <v>0</v>
      </c>
      <c r="E724" s="6"/>
      <c r="F724" s="6">
        <f t="shared" si="59"/>
        <v>0</v>
      </c>
      <c r="G724" s="149">
        <f>INDEX('Step 4 Stage Discharge'!E$26:F$126,MATCH(F724,'Step 4 Stage Discharge'!E$26:E$126,1),2)+(INDEX('Step 4 Stage Discharge'!E$26:F$126,MATCH(F724,'Step 4 Stage Discharge'!E$26:E$126,1)+1,2)-INDEX('Step 4 Stage Discharge'!E$26:F$126,MATCH(F724,'Step 4 Stage Discharge'!E$26:E$126,1),2))*(F724-INDEX('Step 4 Stage Discharge'!E$26:F$126,MATCH(F724,'Step 4 Stage Discharge'!E$26:E$126,1),1))/(INDEX('Step 4 Stage Discharge'!E$26:F$126,MATCH(F724,'Step 4 Stage Discharge'!E$26:E$126,1)+1,1)-INDEX('Step 4 Stage Discharge'!E$26:F$126,MATCH(F724,'Step 4 Stage Discharge'!E$26:E$126,1),1))</f>
        <v>0</v>
      </c>
      <c r="H724" s="149"/>
      <c r="I724" s="149">
        <f>INDEX('Step 4 Stage Discharge'!E$26:M$126,MATCH(F724,'Step 4 Stage Discharge'!E$26:E$126,1),9)+(INDEX('Step 4 Stage Discharge'!E$26:M$126,MATCH('Step 5 Routing'!F724,'Step 4 Stage Discharge'!E$26:E$126,1)+1,9)-INDEX('Step 4 Stage Discharge'!E$26:M$126,MATCH('Step 5 Routing'!F724,'Step 4 Stage Discharge'!E$26:E$126,1),9))*('Step 5 Routing'!F724-INDEX('Step 4 Stage Discharge'!E$26:M$126,MATCH('Step 5 Routing'!F724,'Step 4 Stage Discharge'!E$26:E$126,1),1))/(INDEX('Step 4 Stage Discharge'!E$26:M$126,MATCH('Step 5 Routing'!F724,'Step 4 Stage Discharge'!E$26:E$126,1)+1,1)-INDEX('Step 4 Stage Discharge'!E$26:M$126,MATCH('Step 5 Routing'!F724,'Step 4 Stage Discharge'!E$26:E$126,1),1))</f>
        <v>4.3639431710317386E-3</v>
      </c>
      <c r="J724" s="149"/>
      <c r="K724" s="6">
        <f t="shared" si="56"/>
        <v>0</v>
      </c>
      <c r="L724" s="6">
        <f t="shared" si="57"/>
        <v>0</v>
      </c>
    </row>
    <row r="725" spans="1:12">
      <c r="A725">
        <f t="shared" si="58"/>
        <v>712</v>
      </c>
      <c r="B725" s="136">
        <f>IF(C$5=Data!D$3,'Step 2 Inflow Hydrograph'!H769,IF(C$5=Data!D$4,'Step 2 Inflow Hydrograph'!I769,IF(C$5=Data!D$5,'Step 2 Inflow Hydrograph'!J769,'Step 2 Inflow Hydrograph'!K769)))</f>
        <v>0</v>
      </c>
      <c r="C725" s="127"/>
      <c r="D725" s="6">
        <f t="shared" si="55"/>
        <v>0</v>
      </c>
      <c r="E725" s="6"/>
      <c r="F725" s="6">
        <f t="shared" si="59"/>
        <v>0</v>
      </c>
      <c r="G725" s="149">
        <f>INDEX('Step 4 Stage Discharge'!E$26:F$126,MATCH(F725,'Step 4 Stage Discharge'!E$26:E$126,1),2)+(INDEX('Step 4 Stage Discharge'!E$26:F$126,MATCH(F725,'Step 4 Stage Discharge'!E$26:E$126,1)+1,2)-INDEX('Step 4 Stage Discharge'!E$26:F$126,MATCH(F725,'Step 4 Stage Discharge'!E$26:E$126,1),2))*(F725-INDEX('Step 4 Stage Discharge'!E$26:F$126,MATCH(F725,'Step 4 Stage Discharge'!E$26:E$126,1),1))/(INDEX('Step 4 Stage Discharge'!E$26:F$126,MATCH(F725,'Step 4 Stage Discharge'!E$26:E$126,1)+1,1)-INDEX('Step 4 Stage Discharge'!E$26:F$126,MATCH(F725,'Step 4 Stage Discharge'!E$26:E$126,1),1))</f>
        <v>0</v>
      </c>
      <c r="H725" s="149"/>
      <c r="I725" s="149">
        <f>INDEX('Step 4 Stage Discharge'!E$26:M$126,MATCH(F725,'Step 4 Stage Discharge'!E$26:E$126,1),9)+(INDEX('Step 4 Stage Discharge'!E$26:M$126,MATCH('Step 5 Routing'!F725,'Step 4 Stage Discharge'!E$26:E$126,1)+1,9)-INDEX('Step 4 Stage Discharge'!E$26:M$126,MATCH('Step 5 Routing'!F725,'Step 4 Stage Discharge'!E$26:E$126,1),9))*('Step 5 Routing'!F725-INDEX('Step 4 Stage Discharge'!E$26:M$126,MATCH('Step 5 Routing'!F725,'Step 4 Stage Discharge'!E$26:E$126,1),1))/(INDEX('Step 4 Stage Discharge'!E$26:M$126,MATCH('Step 5 Routing'!F725,'Step 4 Stage Discharge'!E$26:E$126,1)+1,1)-INDEX('Step 4 Stage Discharge'!E$26:M$126,MATCH('Step 5 Routing'!F725,'Step 4 Stage Discharge'!E$26:E$126,1),1))</f>
        <v>4.3639431710317386E-3</v>
      </c>
      <c r="J725" s="149"/>
      <c r="K725" s="6">
        <f t="shared" si="56"/>
        <v>0</v>
      </c>
      <c r="L725" s="6">
        <f t="shared" si="57"/>
        <v>0</v>
      </c>
    </row>
    <row r="726" spans="1:12">
      <c r="A726">
        <f t="shared" si="58"/>
        <v>713</v>
      </c>
      <c r="B726" s="136">
        <f>IF(C$5=Data!D$3,'Step 2 Inflow Hydrograph'!H770,IF(C$5=Data!D$4,'Step 2 Inflow Hydrograph'!I770,IF(C$5=Data!D$5,'Step 2 Inflow Hydrograph'!J770,'Step 2 Inflow Hydrograph'!K770)))</f>
        <v>0</v>
      </c>
      <c r="C726" s="127"/>
      <c r="D726" s="6">
        <f t="shared" si="55"/>
        <v>0</v>
      </c>
      <c r="E726" s="6"/>
      <c r="F726" s="6">
        <f t="shared" si="59"/>
        <v>0</v>
      </c>
      <c r="G726" s="149">
        <f>INDEX('Step 4 Stage Discharge'!E$26:F$126,MATCH(F726,'Step 4 Stage Discharge'!E$26:E$126,1),2)+(INDEX('Step 4 Stage Discharge'!E$26:F$126,MATCH(F726,'Step 4 Stage Discharge'!E$26:E$126,1)+1,2)-INDEX('Step 4 Stage Discharge'!E$26:F$126,MATCH(F726,'Step 4 Stage Discharge'!E$26:E$126,1),2))*(F726-INDEX('Step 4 Stage Discharge'!E$26:F$126,MATCH(F726,'Step 4 Stage Discharge'!E$26:E$126,1),1))/(INDEX('Step 4 Stage Discharge'!E$26:F$126,MATCH(F726,'Step 4 Stage Discharge'!E$26:E$126,1)+1,1)-INDEX('Step 4 Stage Discharge'!E$26:F$126,MATCH(F726,'Step 4 Stage Discharge'!E$26:E$126,1),1))</f>
        <v>0</v>
      </c>
      <c r="H726" s="149"/>
      <c r="I726" s="149">
        <f>INDEX('Step 4 Stage Discharge'!E$26:M$126,MATCH(F726,'Step 4 Stage Discharge'!E$26:E$126,1),9)+(INDEX('Step 4 Stage Discharge'!E$26:M$126,MATCH('Step 5 Routing'!F726,'Step 4 Stage Discharge'!E$26:E$126,1)+1,9)-INDEX('Step 4 Stage Discharge'!E$26:M$126,MATCH('Step 5 Routing'!F726,'Step 4 Stage Discharge'!E$26:E$126,1),9))*('Step 5 Routing'!F726-INDEX('Step 4 Stage Discharge'!E$26:M$126,MATCH('Step 5 Routing'!F726,'Step 4 Stage Discharge'!E$26:E$126,1),1))/(INDEX('Step 4 Stage Discharge'!E$26:M$126,MATCH('Step 5 Routing'!F726,'Step 4 Stage Discharge'!E$26:E$126,1)+1,1)-INDEX('Step 4 Stage Discharge'!E$26:M$126,MATCH('Step 5 Routing'!F726,'Step 4 Stage Discharge'!E$26:E$126,1),1))</f>
        <v>4.3639431710317386E-3</v>
      </c>
      <c r="J726" s="149"/>
      <c r="K726" s="6">
        <f t="shared" si="56"/>
        <v>0</v>
      </c>
      <c r="L726" s="6">
        <f t="shared" si="57"/>
        <v>0</v>
      </c>
    </row>
    <row r="727" spans="1:12">
      <c r="A727">
        <f t="shared" si="58"/>
        <v>714</v>
      </c>
      <c r="B727" s="136">
        <f>IF(C$5=Data!D$3,'Step 2 Inflow Hydrograph'!H771,IF(C$5=Data!D$4,'Step 2 Inflow Hydrograph'!I771,IF(C$5=Data!D$5,'Step 2 Inflow Hydrograph'!J771,'Step 2 Inflow Hydrograph'!K771)))</f>
        <v>0</v>
      </c>
      <c r="C727" s="127"/>
      <c r="D727" s="6">
        <f t="shared" si="55"/>
        <v>0</v>
      </c>
      <c r="E727" s="6"/>
      <c r="F727" s="6">
        <f t="shared" si="59"/>
        <v>0</v>
      </c>
      <c r="G727" s="149">
        <f>INDEX('Step 4 Stage Discharge'!E$26:F$126,MATCH(F727,'Step 4 Stage Discharge'!E$26:E$126,1),2)+(INDEX('Step 4 Stage Discharge'!E$26:F$126,MATCH(F727,'Step 4 Stage Discharge'!E$26:E$126,1)+1,2)-INDEX('Step 4 Stage Discharge'!E$26:F$126,MATCH(F727,'Step 4 Stage Discharge'!E$26:E$126,1),2))*(F727-INDEX('Step 4 Stage Discharge'!E$26:F$126,MATCH(F727,'Step 4 Stage Discharge'!E$26:E$126,1),1))/(INDEX('Step 4 Stage Discharge'!E$26:F$126,MATCH(F727,'Step 4 Stage Discharge'!E$26:E$126,1)+1,1)-INDEX('Step 4 Stage Discharge'!E$26:F$126,MATCH(F727,'Step 4 Stage Discharge'!E$26:E$126,1),1))</f>
        <v>0</v>
      </c>
      <c r="H727" s="149"/>
      <c r="I727" s="149">
        <f>INDEX('Step 4 Stage Discharge'!E$26:M$126,MATCH(F727,'Step 4 Stage Discharge'!E$26:E$126,1),9)+(INDEX('Step 4 Stage Discharge'!E$26:M$126,MATCH('Step 5 Routing'!F727,'Step 4 Stage Discharge'!E$26:E$126,1)+1,9)-INDEX('Step 4 Stage Discharge'!E$26:M$126,MATCH('Step 5 Routing'!F727,'Step 4 Stage Discharge'!E$26:E$126,1),9))*('Step 5 Routing'!F727-INDEX('Step 4 Stage Discharge'!E$26:M$126,MATCH('Step 5 Routing'!F727,'Step 4 Stage Discharge'!E$26:E$126,1),1))/(INDEX('Step 4 Stage Discharge'!E$26:M$126,MATCH('Step 5 Routing'!F727,'Step 4 Stage Discharge'!E$26:E$126,1)+1,1)-INDEX('Step 4 Stage Discharge'!E$26:M$126,MATCH('Step 5 Routing'!F727,'Step 4 Stage Discharge'!E$26:E$126,1),1))</f>
        <v>4.3639431710317386E-3</v>
      </c>
      <c r="J727" s="149"/>
      <c r="K727" s="6">
        <f t="shared" si="56"/>
        <v>0</v>
      </c>
      <c r="L727" s="6">
        <f t="shared" si="57"/>
        <v>0</v>
      </c>
    </row>
    <row r="728" spans="1:12">
      <c r="A728">
        <f t="shared" si="58"/>
        <v>715</v>
      </c>
      <c r="B728" s="136">
        <f>IF(C$5=Data!D$3,'Step 2 Inflow Hydrograph'!H772,IF(C$5=Data!D$4,'Step 2 Inflow Hydrograph'!I772,IF(C$5=Data!D$5,'Step 2 Inflow Hydrograph'!J772,'Step 2 Inflow Hydrograph'!K772)))</f>
        <v>0</v>
      </c>
      <c r="C728" s="127"/>
      <c r="D728" s="6">
        <f t="shared" si="55"/>
        <v>0</v>
      </c>
      <c r="E728" s="6"/>
      <c r="F728" s="6">
        <f t="shared" si="59"/>
        <v>0</v>
      </c>
      <c r="G728" s="149">
        <f>INDEX('Step 4 Stage Discharge'!E$26:F$126,MATCH(F728,'Step 4 Stage Discharge'!E$26:E$126,1),2)+(INDEX('Step 4 Stage Discharge'!E$26:F$126,MATCH(F728,'Step 4 Stage Discharge'!E$26:E$126,1)+1,2)-INDEX('Step 4 Stage Discharge'!E$26:F$126,MATCH(F728,'Step 4 Stage Discharge'!E$26:E$126,1),2))*(F728-INDEX('Step 4 Stage Discharge'!E$26:F$126,MATCH(F728,'Step 4 Stage Discharge'!E$26:E$126,1),1))/(INDEX('Step 4 Stage Discharge'!E$26:F$126,MATCH(F728,'Step 4 Stage Discharge'!E$26:E$126,1)+1,1)-INDEX('Step 4 Stage Discharge'!E$26:F$126,MATCH(F728,'Step 4 Stage Discharge'!E$26:E$126,1),1))</f>
        <v>0</v>
      </c>
      <c r="H728" s="149"/>
      <c r="I728" s="149">
        <f>INDEX('Step 4 Stage Discharge'!E$26:M$126,MATCH(F728,'Step 4 Stage Discharge'!E$26:E$126,1),9)+(INDEX('Step 4 Stage Discharge'!E$26:M$126,MATCH('Step 5 Routing'!F728,'Step 4 Stage Discharge'!E$26:E$126,1)+1,9)-INDEX('Step 4 Stage Discharge'!E$26:M$126,MATCH('Step 5 Routing'!F728,'Step 4 Stage Discharge'!E$26:E$126,1),9))*('Step 5 Routing'!F728-INDEX('Step 4 Stage Discharge'!E$26:M$126,MATCH('Step 5 Routing'!F728,'Step 4 Stage Discharge'!E$26:E$126,1),1))/(INDEX('Step 4 Stage Discharge'!E$26:M$126,MATCH('Step 5 Routing'!F728,'Step 4 Stage Discharge'!E$26:E$126,1)+1,1)-INDEX('Step 4 Stage Discharge'!E$26:M$126,MATCH('Step 5 Routing'!F728,'Step 4 Stage Discharge'!E$26:E$126,1),1))</f>
        <v>4.3639431710317386E-3</v>
      </c>
      <c r="J728" s="149"/>
      <c r="K728" s="6">
        <f t="shared" si="56"/>
        <v>0</v>
      </c>
      <c r="L728" s="6">
        <f t="shared" si="57"/>
        <v>0</v>
      </c>
    </row>
    <row r="729" spans="1:12">
      <c r="A729">
        <f t="shared" si="58"/>
        <v>716</v>
      </c>
      <c r="B729" s="136">
        <f>IF(C$5=Data!D$3,'Step 2 Inflow Hydrograph'!H773,IF(C$5=Data!D$4,'Step 2 Inflow Hydrograph'!I773,IF(C$5=Data!D$5,'Step 2 Inflow Hydrograph'!J773,'Step 2 Inflow Hydrograph'!K773)))</f>
        <v>0</v>
      </c>
      <c r="C729" s="127"/>
      <c r="D729" s="6">
        <f t="shared" si="55"/>
        <v>0</v>
      </c>
      <c r="E729" s="6"/>
      <c r="F729" s="6">
        <f t="shared" si="59"/>
        <v>0</v>
      </c>
      <c r="G729" s="149">
        <f>INDEX('Step 4 Stage Discharge'!E$26:F$126,MATCH(F729,'Step 4 Stage Discharge'!E$26:E$126,1),2)+(INDEX('Step 4 Stage Discharge'!E$26:F$126,MATCH(F729,'Step 4 Stage Discharge'!E$26:E$126,1)+1,2)-INDEX('Step 4 Stage Discharge'!E$26:F$126,MATCH(F729,'Step 4 Stage Discharge'!E$26:E$126,1),2))*(F729-INDEX('Step 4 Stage Discharge'!E$26:F$126,MATCH(F729,'Step 4 Stage Discharge'!E$26:E$126,1),1))/(INDEX('Step 4 Stage Discharge'!E$26:F$126,MATCH(F729,'Step 4 Stage Discharge'!E$26:E$126,1)+1,1)-INDEX('Step 4 Stage Discharge'!E$26:F$126,MATCH(F729,'Step 4 Stage Discharge'!E$26:E$126,1),1))</f>
        <v>0</v>
      </c>
      <c r="H729" s="149"/>
      <c r="I729" s="149">
        <f>INDEX('Step 4 Stage Discharge'!E$26:M$126,MATCH(F729,'Step 4 Stage Discharge'!E$26:E$126,1),9)+(INDEX('Step 4 Stage Discharge'!E$26:M$126,MATCH('Step 5 Routing'!F729,'Step 4 Stage Discharge'!E$26:E$126,1)+1,9)-INDEX('Step 4 Stage Discharge'!E$26:M$126,MATCH('Step 5 Routing'!F729,'Step 4 Stage Discharge'!E$26:E$126,1),9))*('Step 5 Routing'!F729-INDEX('Step 4 Stage Discharge'!E$26:M$126,MATCH('Step 5 Routing'!F729,'Step 4 Stage Discharge'!E$26:E$126,1),1))/(INDEX('Step 4 Stage Discharge'!E$26:M$126,MATCH('Step 5 Routing'!F729,'Step 4 Stage Discharge'!E$26:E$126,1)+1,1)-INDEX('Step 4 Stage Discharge'!E$26:M$126,MATCH('Step 5 Routing'!F729,'Step 4 Stage Discharge'!E$26:E$126,1),1))</f>
        <v>4.3639431710317386E-3</v>
      </c>
      <c r="J729" s="149"/>
      <c r="K729" s="6">
        <f t="shared" si="56"/>
        <v>0</v>
      </c>
      <c r="L729" s="6">
        <f t="shared" si="57"/>
        <v>0</v>
      </c>
    </row>
    <row r="730" spans="1:12">
      <c r="A730">
        <f t="shared" si="58"/>
        <v>717</v>
      </c>
      <c r="B730" s="136">
        <f>IF(C$5=Data!D$3,'Step 2 Inflow Hydrograph'!H774,IF(C$5=Data!D$4,'Step 2 Inflow Hydrograph'!I774,IF(C$5=Data!D$5,'Step 2 Inflow Hydrograph'!J774,'Step 2 Inflow Hydrograph'!K774)))</f>
        <v>0</v>
      </c>
      <c r="C730" s="127"/>
      <c r="D730" s="6">
        <f t="shared" si="55"/>
        <v>0</v>
      </c>
      <c r="E730" s="6"/>
      <c r="F730" s="6">
        <f t="shared" si="59"/>
        <v>0</v>
      </c>
      <c r="G730" s="149">
        <f>INDEX('Step 4 Stage Discharge'!E$26:F$126,MATCH(F730,'Step 4 Stage Discharge'!E$26:E$126,1),2)+(INDEX('Step 4 Stage Discharge'!E$26:F$126,MATCH(F730,'Step 4 Stage Discharge'!E$26:E$126,1)+1,2)-INDEX('Step 4 Stage Discharge'!E$26:F$126,MATCH(F730,'Step 4 Stage Discharge'!E$26:E$126,1),2))*(F730-INDEX('Step 4 Stage Discharge'!E$26:F$126,MATCH(F730,'Step 4 Stage Discharge'!E$26:E$126,1),1))/(INDEX('Step 4 Stage Discharge'!E$26:F$126,MATCH(F730,'Step 4 Stage Discharge'!E$26:E$126,1)+1,1)-INDEX('Step 4 Stage Discharge'!E$26:F$126,MATCH(F730,'Step 4 Stage Discharge'!E$26:E$126,1),1))</f>
        <v>0</v>
      </c>
      <c r="H730" s="149"/>
      <c r="I730" s="149">
        <f>INDEX('Step 4 Stage Discharge'!E$26:M$126,MATCH(F730,'Step 4 Stage Discharge'!E$26:E$126,1),9)+(INDEX('Step 4 Stage Discharge'!E$26:M$126,MATCH('Step 5 Routing'!F730,'Step 4 Stage Discharge'!E$26:E$126,1)+1,9)-INDEX('Step 4 Stage Discharge'!E$26:M$126,MATCH('Step 5 Routing'!F730,'Step 4 Stage Discharge'!E$26:E$126,1),9))*('Step 5 Routing'!F730-INDEX('Step 4 Stage Discharge'!E$26:M$126,MATCH('Step 5 Routing'!F730,'Step 4 Stage Discharge'!E$26:E$126,1),1))/(INDEX('Step 4 Stage Discharge'!E$26:M$126,MATCH('Step 5 Routing'!F730,'Step 4 Stage Discharge'!E$26:E$126,1)+1,1)-INDEX('Step 4 Stage Discharge'!E$26:M$126,MATCH('Step 5 Routing'!F730,'Step 4 Stage Discharge'!E$26:E$126,1),1))</f>
        <v>4.3639431710317386E-3</v>
      </c>
      <c r="J730" s="149"/>
      <c r="K730" s="6">
        <f t="shared" si="56"/>
        <v>0</v>
      </c>
      <c r="L730" s="6">
        <f t="shared" si="57"/>
        <v>0</v>
      </c>
    </row>
    <row r="731" spans="1:12">
      <c r="A731">
        <f t="shared" si="58"/>
        <v>718</v>
      </c>
      <c r="B731" s="136">
        <f>IF(C$5=Data!D$3,'Step 2 Inflow Hydrograph'!H775,IF(C$5=Data!D$4,'Step 2 Inflow Hydrograph'!I775,IF(C$5=Data!D$5,'Step 2 Inflow Hydrograph'!J775,'Step 2 Inflow Hydrograph'!K775)))</f>
        <v>0</v>
      </c>
      <c r="C731" s="127"/>
      <c r="D731" s="6">
        <f t="shared" si="55"/>
        <v>0</v>
      </c>
      <c r="E731" s="6"/>
      <c r="F731" s="6">
        <f t="shared" si="59"/>
        <v>0</v>
      </c>
      <c r="G731" s="149">
        <f>INDEX('Step 4 Stage Discharge'!E$26:F$126,MATCH(F731,'Step 4 Stage Discharge'!E$26:E$126,1),2)+(INDEX('Step 4 Stage Discharge'!E$26:F$126,MATCH(F731,'Step 4 Stage Discharge'!E$26:E$126,1)+1,2)-INDEX('Step 4 Stage Discharge'!E$26:F$126,MATCH(F731,'Step 4 Stage Discharge'!E$26:E$126,1),2))*(F731-INDEX('Step 4 Stage Discharge'!E$26:F$126,MATCH(F731,'Step 4 Stage Discharge'!E$26:E$126,1),1))/(INDEX('Step 4 Stage Discharge'!E$26:F$126,MATCH(F731,'Step 4 Stage Discharge'!E$26:E$126,1)+1,1)-INDEX('Step 4 Stage Discharge'!E$26:F$126,MATCH(F731,'Step 4 Stage Discharge'!E$26:E$126,1),1))</f>
        <v>0</v>
      </c>
      <c r="H731" s="149"/>
      <c r="I731" s="149">
        <f>INDEX('Step 4 Stage Discharge'!E$26:M$126,MATCH(F731,'Step 4 Stage Discharge'!E$26:E$126,1),9)+(INDEX('Step 4 Stage Discharge'!E$26:M$126,MATCH('Step 5 Routing'!F731,'Step 4 Stage Discharge'!E$26:E$126,1)+1,9)-INDEX('Step 4 Stage Discharge'!E$26:M$126,MATCH('Step 5 Routing'!F731,'Step 4 Stage Discharge'!E$26:E$126,1),9))*('Step 5 Routing'!F731-INDEX('Step 4 Stage Discharge'!E$26:M$126,MATCH('Step 5 Routing'!F731,'Step 4 Stage Discharge'!E$26:E$126,1),1))/(INDEX('Step 4 Stage Discharge'!E$26:M$126,MATCH('Step 5 Routing'!F731,'Step 4 Stage Discharge'!E$26:E$126,1)+1,1)-INDEX('Step 4 Stage Discharge'!E$26:M$126,MATCH('Step 5 Routing'!F731,'Step 4 Stage Discharge'!E$26:E$126,1),1))</f>
        <v>4.3639431710317386E-3</v>
      </c>
      <c r="J731" s="149"/>
      <c r="K731" s="6">
        <f t="shared" si="56"/>
        <v>0</v>
      </c>
      <c r="L731" s="6">
        <f t="shared" si="57"/>
        <v>0</v>
      </c>
    </row>
    <row r="732" spans="1:12">
      <c r="A732">
        <f t="shared" si="58"/>
        <v>719</v>
      </c>
      <c r="B732" s="136">
        <f>IF(C$5=Data!D$3,'Step 2 Inflow Hydrograph'!H776,IF(C$5=Data!D$4,'Step 2 Inflow Hydrograph'!I776,IF(C$5=Data!D$5,'Step 2 Inflow Hydrograph'!J776,'Step 2 Inflow Hydrograph'!K776)))</f>
        <v>0</v>
      </c>
      <c r="C732" s="127"/>
      <c r="D732" s="6">
        <f t="shared" si="55"/>
        <v>0</v>
      </c>
      <c r="E732" s="6"/>
      <c r="F732" s="6">
        <f t="shared" si="59"/>
        <v>0</v>
      </c>
      <c r="G732" s="149">
        <f>INDEX('Step 4 Stage Discharge'!E$26:F$126,MATCH(F732,'Step 4 Stage Discharge'!E$26:E$126,1),2)+(INDEX('Step 4 Stage Discharge'!E$26:F$126,MATCH(F732,'Step 4 Stage Discharge'!E$26:E$126,1)+1,2)-INDEX('Step 4 Stage Discharge'!E$26:F$126,MATCH(F732,'Step 4 Stage Discharge'!E$26:E$126,1),2))*(F732-INDEX('Step 4 Stage Discharge'!E$26:F$126,MATCH(F732,'Step 4 Stage Discharge'!E$26:E$126,1),1))/(INDEX('Step 4 Stage Discharge'!E$26:F$126,MATCH(F732,'Step 4 Stage Discharge'!E$26:E$126,1)+1,1)-INDEX('Step 4 Stage Discharge'!E$26:F$126,MATCH(F732,'Step 4 Stage Discharge'!E$26:E$126,1),1))</f>
        <v>0</v>
      </c>
      <c r="H732" s="149"/>
      <c r="I732" s="149">
        <f>INDEX('Step 4 Stage Discharge'!E$26:M$126,MATCH(F732,'Step 4 Stage Discharge'!E$26:E$126,1),9)+(INDEX('Step 4 Stage Discharge'!E$26:M$126,MATCH('Step 5 Routing'!F732,'Step 4 Stage Discharge'!E$26:E$126,1)+1,9)-INDEX('Step 4 Stage Discharge'!E$26:M$126,MATCH('Step 5 Routing'!F732,'Step 4 Stage Discharge'!E$26:E$126,1),9))*('Step 5 Routing'!F732-INDEX('Step 4 Stage Discharge'!E$26:M$126,MATCH('Step 5 Routing'!F732,'Step 4 Stage Discharge'!E$26:E$126,1),1))/(INDEX('Step 4 Stage Discharge'!E$26:M$126,MATCH('Step 5 Routing'!F732,'Step 4 Stage Discharge'!E$26:E$126,1)+1,1)-INDEX('Step 4 Stage Discharge'!E$26:M$126,MATCH('Step 5 Routing'!F732,'Step 4 Stage Discharge'!E$26:E$126,1),1))</f>
        <v>4.3639431710317386E-3</v>
      </c>
      <c r="J732" s="149"/>
      <c r="K732" s="6">
        <f t="shared" si="56"/>
        <v>0</v>
      </c>
      <c r="L732" s="6">
        <f t="shared" si="57"/>
        <v>0</v>
      </c>
    </row>
    <row r="733" spans="1:12">
      <c r="A733">
        <f t="shared" si="58"/>
        <v>720</v>
      </c>
      <c r="B733" s="136">
        <f>IF(C$5=Data!D$3,'Step 2 Inflow Hydrograph'!H777,IF(C$5=Data!D$4,'Step 2 Inflow Hydrograph'!I777,IF(C$5=Data!D$5,'Step 2 Inflow Hydrograph'!J777,'Step 2 Inflow Hydrograph'!K777)))</f>
        <v>0</v>
      </c>
      <c r="C733" s="127"/>
      <c r="D733" s="6">
        <f t="shared" si="55"/>
        <v>0</v>
      </c>
      <c r="E733" s="6"/>
      <c r="F733" s="6">
        <f t="shared" si="59"/>
        <v>0</v>
      </c>
      <c r="G733" s="149">
        <f>INDEX('Step 4 Stage Discharge'!E$26:F$126,MATCH(F733,'Step 4 Stage Discharge'!E$26:E$126,1),2)+(INDEX('Step 4 Stage Discharge'!E$26:F$126,MATCH(F733,'Step 4 Stage Discharge'!E$26:E$126,1)+1,2)-INDEX('Step 4 Stage Discharge'!E$26:F$126,MATCH(F733,'Step 4 Stage Discharge'!E$26:E$126,1),2))*(F733-INDEX('Step 4 Stage Discharge'!E$26:F$126,MATCH(F733,'Step 4 Stage Discharge'!E$26:E$126,1),1))/(INDEX('Step 4 Stage Discharge'!E$26:F$126,MATCH(F733,'Step 4 Stage Discharge'!E$26:E$126,1)+1,1)-INDEX('Step 4 Stage Discharge'!E$26:F$126,MATCH(F733,'Step 4 Stage Discharge'!E$26:E$126,1),1))</f>
        <v>0</v>
      </c>
      <c r="H733" s="149"/>
      <c r="I733" s="149">
        <f>INDEX('Step 4 Stage Discharge'!E$26:M$126,MATCH(F733,'Step 4 Stage Discharge'!E$26:E$126,1),9)+(INDEX('Step 4 Stage Discharge'!E$26:M$126,MATCH('Step 5 Routing'!F733,'Step 4 Stage Discharge'!E$26:E$126,1)+1,9)-INDEX('Step 4 Stage Discharge'!E$26:M$126,MATCH('Step 5 Routing'!F733,'Step 4 Stage Discharge'!E$26:E$126,1),9))*('Step 5 Routing'!F733-INDEX('Step 4 Stage Discharge'!E$26:M$126,MATCH('Step 5 Routing'!F733,'Step 4 Stage Discharge'!E$26:E$126,1),1))/(INDEX('Step 4 Stage Discharge'!E$26:M$126,MATCH('Step 5 Routing'!F733,'Step 4 Stage Discharge'!E$26:E$126,1)+1,1)-INDEX('Step 4 Stage Discharge'!E$26:M$126,MATCH('Step 5 Routing'!F733,'Step 4 Stage Discharge'!E$26:E$126,1),1))</f>
        <v>4.3639431710317386E-3</v>
      </c>
      <c r="J733" s="149"/>
      <c r="K733" s="6">
        <f t="shared" si="56"/>
        <v>0</v>
      </c>
      <c r="L733" s="6">
        <f t="shared" si="57"/>
        <v>0</v>
      </c>
    </row>
    <row r="734" spans="1:12">
      <c r="A734">
        <f t="shared" si="58"/>
        <v>721</v>
      </c>
      <c r="B734" s="136">
        <f>IF(C$5=Data!D$3,'Step 2 Inflow Hydrograph'!H778,IF(C$5=Data!D$4,'Step 2 Inflow Hydrograph'!I778,IF(C$5=Data!D$5,'Step 2 Inflow Hydrograph'!J778,'Step 2 Inflow Hydrograph'!K778)))</f>
        <v>0</v>
      </c>
      <c r="C734" s="127"/>
      <c r="D734" s="6">
        <f t="shared" si="55"/>
        <v>0</v>
      </c>
      <c r="E734" s="6"/>
      <c r="F734" s="6">
        <f t="shared" si="59"/>
        <v>0</v>
      </c>
      <c r="G734" s="149">
        <f>INDEX('Step 4 Stage Discharge'!E$26:F$126,MATCH(F734,'Step 4 Stage Discharge'!E$26:E$126,1),2)+(INDEX('Step 4 Stage Discharge'!E$26:F$126,MATCH(F734,'Step 4 Stage Discharge'!E$26:E$126,1)+1,2)-INDEX('Step 4 Stage Discharge'!E$26:F$126,MATCH(F734,'Step 4 Stage Discharge'!E$26:E$126,1),2))*(F734-INDEX('Step 4 Stage Discharge'!E$26:F$126,MATCH(F734,'Step 4 Stage Discharge'!E$26:E$126,1),1))/(INDEX('Step 4 Stage Discharge'!E$26:F$126,MATCH(F734,'Step 4 Stage Discharge'!E$26:E$126,1)+1,1)-INDEX('Step 4 Stage Discharge'!E$26:F$126,MATCH(F734,'Step 4 Stage Discharge'!E$26:E$126,1),1))</f>
        <v>0</v>
      </c>
      <c r="H734" s="149"/>
      <c r="I734" s="149">
        <f>INDEX('Step 4 Stage Discharge'!E$26:M$126,MATCH(F734,'Step 4 Stage Discharge'!E$26:E$126,1),9)+(INDEX('Step 4 Stage Discharge'!E$26:M$126,MATCH('Step 5 Routing'!F734,'Step 4 Stage Discharge'!E$26:E$126,1)+1,9)-INDEX('Step 4 Stage Discharge'!E$26:M$126,MATCH('Step 5 Routing'!F734,'Step 4 Stage Discharge'!E$26:E$126,1),9))*('Step 5 Routing'!F734-INDEX('Step 4 Stage Discharge'!E$26:M$126,MATCH('Step 5 Routing'!F734,'Step 4 Stage Discharge'!E$26:E$126,1),1))/(INDEX('Step 4 Stage Discharge'!E$26:M$126,MATCH('Step 5 Routing'!F734,'Step 4 Stage Discharge'!E$26:E$126,1)+1,1)-INDEX('Step 4 Stage Discharge'!E$26:M$126,MATCH('Step 5 Routing'!F734,'Step 4 Stage Discharge'!E$26:E$126,1),1))</f>
        <v>4.3639431710317386E-3</v>
      </c>
      <c r="J734" s="149"/>
      <c r="K734" s="6">
        <f t="shared" si="56"/>
        <v>0</v>
      </c>
      <c r="L734" s="6">
        <f t="shared" si="57"/>
        <v>0</v>
      </c>
    </row>
    <row r="735" spans="1:12">
      <c r="A735">
        <f t="shared" si="58"/>
        <v>722</v>
      </c>
      <c r="B735" s="136">
        <f>IF(C$5=Data!D$3,'Step 2 Inflow Hydrograph'!H779,IF(C$5=Data!D$4,'Step 2 Inflow Hydrograph'!I779,IF(C$5=Data!D$5,'Step 2 Inflow Hydrograph'!J779,'Step 2 Inflow Hydrograph'!K779)))</f>
        <v>0</v>
      </c>
      <c r="C735" s="127"/>
      <c r="D735" s="6">
        <f t="shared" si="55"/>
        <v>0</v>
      </c>
      <c r="E735" s="6"/>
      <c r="F735" s="6">
        <f t="shared" si="59"/>
        <v>0</v>
      </c>
      <c r="G735" s="149">
        <f>INDEX('Step 4 Stage Discharge'!E$26:F$126,MATCH(F735,'Step 4 Stage Discharge'!E$26:E$126,1),2)+(INDEX('Step 4 Stage Discharge'!E$26:F$126,MATCH(F735,'Step 4 Stage Discharge'!E$26:E$126,1)+1,2)-INDEX('Step 4 Stage Discharge'!E$26:F$126,MATCH(F735,'Step 4 Stage Discharge'!E$26:E$126,1),2))*(F735-INDEX('Step 4 Stage Discharge'!E$26:F$126,MATCH(F735,'Step 4 Stage Discharge'!E$26:E$126,1),1))/(INDEX('Step 4 Stage Discharge'!E$26:F$126,MATCH(F735,'Step 4 Stage Discharge'!E$26:E$126,1)+1,1)-INDEX('Step 4 Stage Discharge'!E$26:F$126,MATCH(F735,'Step 4 Stage Discharge'!E$26:E$126,1),1))</f>
        <v>0</v>
      </c>
      <c r="H735" s="149"/>
      <c r="I735" s="149">
        <f>INDEX('Step 4 Stage Discharge'!E$26:M$126,MATCH(F735,'Step 4 Stage Discharge'!E$26:E$126,1),9)+(INDEX('Step 4 Stage Discharge'!E$26:M$126,MATCH('Step 5 Routing'!F735,'Step 4 Stage Discharge'!E$26:E$126,1)+1,9)-INDEX('Step 4 Stage Discharge'!E$26:M$126,MATCH('Step 5 Routing'!F735,'Step 4 Stage Discharge'!E$26:E$126,1),9))*('Step 5 Routing'!F735-INDEX('Step 4 Stage Discharge'!E$26:M$126,MATCH('Step 5 Routing'!F735,'Step 4 Stage Discharge'!E$26:E$126,1),1))/(INDEX('Step 4 Stage Discharge'!E$26:M$126,MATCH('Step 5 Routing'!F735,'Step 4 Stage Discharge'!E$26:E$126,1)+1,1)-INDEX('Step 4 Stage Discharge'!E$26:M$126,MATCH('Step 5 Routing'!F735,'Step 4 Stage Discharge'!E$26:E$126,1),1))</f>
        <v>4.3639431710317386E-3</v>
      </c>
      <c r="J735" s="149"/>
      <c r="K735" s="6">
        <f t="shared" si="56"/>
        <v>0</v>
      </c>
      <c r="L735" s="6">
        <f t="shared" si="57"/>
        <v>0</v>
      </c>
    </row>
    <row r="736" spans="1:12">
      <c r="A736">
        <f t="shared" si="58"/>
        <v>723</v>
      </c>
      <c r="B736" s="136">
        <f>IF(C$5=Data!D$3,'Step 2 Inflow Hydrograph'!H780,IF(C$5=Data!D$4,'Step 2 Inflow Hydrograph'!I780,IF(C$5=Data!D$5,'Step 2 Inflow Hydrograph'!J780,'Step 2 Inflow Hydrograph'!K780)))</f>
        <v>0</v>
      </c>
      <c r="C736" s="127"/>
      <c r="D736" s="6">
        <f t="shared" si="55"/>
        <v>0</v>
      </c>
      <c r="E736" s="6"/>
      <c r="F736" s="6">
        <f t="shared" si="59"/>
        <v>0</v>
      </c>
      <c r="G736" s="149">
        <f>INDEX('Step 4 Stage Discharge'!E$26:F$126,MATCH(F736,'Step 4 Stage Discharge'!E$26:E$126,1),2)+(INDEX('Step 4 Stage Discharge'!E$26:F$126,MATCH(F736,'Step 4 Stage Discharge'!E$26:E$126,1)+1,2)-INDEX('Step 4 Stage Discharge'!E$26:F$126,MATCH(F736,'Step 4 Stage Discharge'!E$26:E$126,1),2))*(F736-INDEX('Step 4 Stage Discharge'!E$26:F$126,MATCH(F736,'Step 4 Stage Discharge'!E$26:E$126,1),1))/(INDEX('Step 4 Stage Discharge'!E$26:F$126,MATCH(F736,'Step 4 Stage Discharge'!E$26:E$126,1)+1,1)-INDEX('Step 4 Stage Discharge'!E$26:F$126,MATCH(F736,'Step 4 Stage Discharge'!E$26:E$126,1),1))</f>
        <v>0</v>
      </c>
      <c r="H736" s="149"/>
      <c r="I736" s="149">
        <f>INDEX('Step 4 Stage Discharge'!E$26:M$126,MATCH(F736,'Step 4 Stage Discharge'!E$26:E$126,1),9)+(INDEX('Step 4 Stage Discharge'!E$26:M$126,MATCH('Step 5 Routing'!F736,'Step 4 Stage Discharge'!E$26:E$126,1)+1,9)-INDEX('Step 4 Stage Discharge'!E$26:M$126,MATCH('Step 5 Routing'!F736,'Step 4 Stage Discharge'!E$26:E$126,1),9))*('Step 5 Routing'!F736-INDEX('Step 4 Stage Discharge'!E$26:M$126,MATCH('Step 5 Routing'!F736,'Step 4 Stage Discharge'!E$26:E$126,1),1))/(INDEX('Step 4 Stage Discharge'!E$26:M$126,MATCH('Step 5 Routing'!F736,'Step 4 Stage Discharge'!E$26:E$126,1)+1,1)-INDEX('Step 4 Stage Discharge'!E$26:M$126,MATCH('Step 5 Routing'!F736,'Step 4 Stage Discharge'!E$26:E$126,1),1))</f>
        <v>4.3639431710317386E-3</v>
      </c>
      <c r="J736" s="149"/>
      <c r="K736" s="6">
        <f t="shared" si="56"/>
        <v>0</v>
      </c>
      <c r="L736" s="6">
        <f t="shared" si="57"/>
        <v>0</v>
      </c>
    </row>
    <row r="737" spans="1:12">
      <c r="A737">
        <f t="shared" si="58"/>
        <v>724</v>
      </c>
      <c r="B737" s="136">
        <f>IF(C$5=Data!D$3,'Step 2 Inflow Hydrograph'!H781,IF(C$5=Data!D$4,'Step 2 Inflow Hydrograph'!I781,IF(C$5=Data!D$5,'Step 2 Inflow Hydrograph'!J781,'Step 2 Inflow Hydrograph'!K781)))</f>
        <v>0</v>
      </c>
      <c r="C737" s="127"/>
      <c r="D737" s="6">
        <f t="shared" si="55"/>
        <v>0</v>
      </c>
      <c r="E737" s="6"/>
      <c r="F737" s="6">
        <f t="shared" si="59"/>
        <v>0</v>
      </c>
      <c r="G737" s="149">
        <f>INDEX('Step 4 Stage Discharge'!E$26:F$126,MATCH(F737,'Step 4 Stage Discharge'!E$26:E$126,1),2)+(INDEX('Step 4 Stage Discharge'!E$26:F$126,MATCH(F737,'Step 4 Stage Discharge'!E$26:E$126,1)+1,2)-INDEX('Step 4 Stage Discharge'!E$26:F$126,MATCH(F737,'Step 4 Stage Discharge'!E$26:E$126,1),2))*(F737-INDEX('Step 4 Stage Discharge'!E$26:F$126,MATCH(F737,'Step 4 Stage Discharge'!E$26:E$126,1),1))/(INDEX('Step 4 Stage Discharge'!E$26:F$126,MATCH(F737,'Step 4 Stage Discharge'!E$26:E$126,1)+1,1)-INDEX('Step 4 Stage Discharge'!E$26:F$126,MATCH(F737,'Step 4 Stage Discharge'!E$26:E$126,1),1))</f>
        <v>0</v>
      </c>
      <c r="H737" s="149"/>
      <c r="I737" s="149">
        <f>INDEX('Step 4 Stage Discharge'!E$26:M$126,MATCH(F737,'Step 4 Stage Discharge'!E$26:E$126,1),9)+(INDEX('Step 4 Stage Discharge'!E$26:M$126,MATCH('Step 5 Routing'!F737,'Step 4 Stage Discharge'!E$26:E$126,1)+1,9)-INDEX('Step 4 Stage Discharge'!E$26:M$126,MATCH('Step 5 Routing'!F737,'Step 4 Stage Discharge'!E$26:E$126,1),9))*('Step 5 Routing'!F737-INDEX('Step 4 Stage Discharge'!E$26:M$126,MATCH('Step 5 Routing'!F737,'Step 4 Stage Discharge'!E$26:E$126,1),1))/(INDEX('Step 4 Stage Discharge'!E$26:M$126,MATCH('Step 5 Routing'!F737,'Step 4 Stage Discharge'!E$26:E$126,1)+1,1)-INDEX('Step 4 Stage Discharge'!E$26:M$126,MATCH('Step 5 Routing'!F737,'Step 4 Stage Discharge'!E$26:E$126,1),1))</f>
        <v>4.3639431710317386E-3</v>
      </c>
      <c r="J737" s="149"/>
      <c r="K737" s="6">
        <f t="shared" si="56"/>
        <v>0</v>
      </c>
      <c r="L737" s="6">
        <f t="shared" si="57"/>
        <v>0</v>
      </c>
    </row>
    <row r="738" spans="1:12">
      <c r="A738">
        <f t="shared" si="58"/>
        <v>725</v>
      </c>
      <c r="B738" s="136">
        <f>IF(C$5=Data!D$3,'Step 2 Inflow Hydrograph'!H782,IF(C$5=Data!D$4,'Step 2 Inflow Hydrograph'!I782,IF(C$5=Data!D$5,'Step 2 Inflow Hydrograph'!J782,'Step 2 Inflow Hydrograph'!K782)))</f>
        <v>0</v>
      </c>
      <c r="C738" s="127"/>
      <c r="D738" s="6">
        <f t="shared" si="55"/>
        <v>0</v>
      </c>
      <c r="E738" s="6"/>
      <c r="F738" s="6">
        <f t="shared" si="59"/>
        <v>0</v>
      </c>
      <c r="G738" s="149">
        <f>INDEX('Step 4 Stage Discharge'!E$26:F$126,MATCH(F738,'Step 4 Stage Discharge'!E$26:E$126,1),2)+(INDEX('Step 4 Stage Discharge'!E$26:F$126,MATCH(F738,'Step 4 Stage Discharge'!E$26:E$126,1)+1,2)-INDEX('Step 4 Stage Discharge'!E$26:F$126,MATCH(F738,'Step 4 Stage Discharge'!E$26:E$126,1),2))*(F738-INDEX('Step 4 Stage Discharge'!E$26:F$126,MATCH(F738,'Step 4 Stage Discharge'!E$26:E$126,1),1))/(INDEX('Step 4 Stage Discharge'!E$26:F$126,MATCH(F738,'Step 4 Stage Discharge'!E$26:E$126,1)+1,1)-INDEX('Step 4 Stage Discharge'!E$26:F$126,MATCH(F738,'Step 4 Stage Discharge'!E$26:E$126,1),1))</f>
        <v>0</v>
      </c>
      <c r="H738" s="149"/>
      <c r="I738" s="149">
        <f>INDEX('Step 4 Stage Discharge'!E$26:M$126,MATCH(F738,'Step 4 Stage Discharge'!E$26:E$126,1),9)+(INDEX('Step 4 Stage Discharge'!E$26:M$126,MATCH('Step 5 Routing'!F738,'Step 4 Stage Discharge'!E$26:E$126,1)+1,9)-INDEX('Step 4 Stage Discharge'!E$26:M$126,MATCH('Step 5 Routing'!F738,'Step 4 Stage Discharge'!E$26:E$126,1),9))*('Step 5 Routing'!F738-INDEX('Step 4 Stage Discharge'!E$26:M$126,MATCH('Step 5 Routing'!F738,'Step 4 Stage Discharge'!E$26:E$126,1),1))/(INDEX('Step 4 Stage Discharge'!E$26:M$126,MATCH('Step 5 Routing'!F738,'Step 4 Stage Discharge'!E$26:E$126,1)+1,1)-INDEX('Step 4 Stage Discharge'!E$26:M$126,MATCH('Step 5 Routing'!F738,'Step 4 Stage Discharge'!E$26:E$126,1),1))</f>
        <v>4.3639431710317386E-3</v>
      </c>
      <c r="J738" s="149"/>
      <c r="K738" s="6">
        <f t="shared" si="56"/>
        <v>0</v>
      </c>
      <c r="L738" s="6">
        <f t="shared" si="57"/>
        <v>0</v>
      </c>
    </row>
    <row r="739" spans="1:12">
      <c r="A739">
        <f t="shared" si="58"/>
        <v>726</v>
      </c>
      <c r="B739" s="136">
        <f>IF(C$5=Data!D$3,'Step 2 Inflow Hydrograph'!H783,IF(C$5=Data!D$4,'Step 2 Inflow Hydrograph'!I783,IF(C$5=Data!D$5,'Step 2 Inflow Hydrograph'!J783,'Step 2 Inflow Hydrograph'!K783)))</f>
        <v>0</v>
      </c>
      <c r="C739" s="127"/>
      <c r="D739" s="6">
        <f t="shared" si="55"/>
        <v>0</v>
      </c>
      <c r="E739" s="6"/>
      <c r="F739" s="6">
        <f t="shared" si="59"/>
        <v>0</v>
      </c>
      <c r="G739" s="149">
        <f>INDEX('Step 4 Stage Discharge'!E$26:F$126,MATCH(F739,'Step 4 Stage Discharge'!E$26:E$126,1),2)+(INDEX('Step 4 Stage Discharge'!E$26:F$126,MATCH(F739,'Step 4 Stage Discharge'!E$26:E$126,1)+1,2)-INDEX('Step 4 Stage Discharge'!E$26:F$126,MATCH(F739,'Step 4 Stage Discharge'!E$26:E$126,1),2))*(F739-INDEX('Step 4 Stage Discharge'!E$26:F$126,MATCH(F739,'Step 4 Stage Discharge'!E$26:E$126,1),1))/(INDEX('Step 4 Stage Discharge'!E$26:F$126,MATCH(F739,'Step 4 Stage Discharge'!E$26:E$126,1)+1,1)-INDEX('Step 4 Stage Discharge'!E$26:F$126,MATCH(F739,'Step 4 Stage Discharge'!E$26:E$126,1),1))</f>
        <v>0</v>
      </c>
      <c r="H739" s="149"/>
      <c r="I739" s="149">
        <f>INDEX('Step 4 Stage Discharge'!E$26:M$126,MATCH(F739,'Step 4 Stage Discharge'!E$26:E$126,1),9)+(INDEX('Step 4 Stage Discharge'!E$26:M$126,MATCH('Step 5 Routing'!F739,'Step 4 Stage Discharge'!E$26:E$126,1)+1,9)-INDEX('Step 4 Stage Discharge'!E$26:M$126,MATCH('Step 5 Routing'!F739,'Step 4 Stage Discharge'!E$26:E$126,1),9))*('Step 5 Routing'!F739-INDEX('Step 4 Stage Discharge'!E$26:M$126,MATCH('Step 5 Routing'!F739,'Step 4 Stage Discharge'!E$26:E$126,1),1))/(INDEX('Step 4 Stage Discharge'!E$26:M$126,MATCH('Step 5 Routing'!F739,'Step 4 Stage Discharge'!E$26:E$126,1)+1,1)-INDEX('Step 4 Stage Discharge'!E$26:M$126,MATCH('Step 5 Routing'!F739,'Step 4 Stage Discharge'!E$26:E$126,1),1))</f>
        <v>4.3639431710317386E-3</v>
      </c>
      <c r="J739" s="149"/>
      <c r="K739" s="6">
        <f t="shared" si="56"/>
        <v>0</v>
      </c>
      <c r="L739" s="6">
        <f t="shared" si="57"/>
        <v>0</v>
      </c>
    </row>
    <row r="740" spans="1:12">
      <c r="A740">
        <f t="shared" si="58"/>
        <v>727</v>
      </c>
      <c r="B740" s="136">
        <f>IF(C$5=Data!D$3,'Step 2 Inflow Hydrograph'!H784,IF(C$5=Data!D$4,'Step 2 Inflow Hydrograph'!I784,IF(C$5=Data!D$5,'Step 2 Inflow Hydrograph'!J784,'Step 2 Inflow Hydrograph'!K784)))</f>
        <v>0</v>
      </c>
      <c r="C740" s="127"/>
      <c r="D740" s="6">
        <f t="shared" si="55"/>
        <v>0</v>
      </c>
      <c r="E740" s="6"/>
      <c r="F740" s="6">
        <f t="shared" si="59"/>
        <v>0</v>
      </c>
      <c r="G740" s="149">
        <f>INDEX('Step 4 Stage Discharge'!E$26:F$126,MATCH(F740,'Step 4 Stage Discharge'!E$26:E$126,1),2)+(INDEX('Step 4 Stage Discharge'!E$26:F$126,MATCH(F740,'Step 4 Stage Discharge'!E$26:E$126,1)+1,2)-INDEX('Step 4 Stage Discharge'!E$26:F$126,MATCH(F740,'Step 4 Stage Discharge'!E$26:E$126,1),2))*(F740-INDEX('Step 4 Stage Discharge'!E$26:F$126,MATCH(F740,'Step 4 Stage Discharge'!E$26:E$126,1),1))/(INDEX('Step 4 Stage Discharge'!E$26:F$126,MATCH(F740,'Step 4 Stage Discharge'!E$26:E$126,1)+1,1)-INDEX('Step 4 Stage Discharge'!E$26:F$126,MATCH(F740,'Step 4 Stage Discharge'!E$26:E$126,1),1))</f>
        <v>0</v>
      </c>
      <c r="H740" s="149"/>
      <c r="I740" s="149">
        <f>INDEX('Step 4 Stage Discharge'!E$26:M$126,MATCH(F740,'Step 4 Stage Discharge'!E$26:E$126,1),9)+(INDEX('Step 4 Stage Discharge'!E$26:M$126,MATCH('Step 5 Routing'!F740,'Step 4 Stage Discharge'!E$26:E$126,1)+1,9)-INDEX('Step 4 Stage Discharge'!E$26:M$126,MATCH('Step 5 Routing'!F740,'Step 4 Stage Discharge'!E$26:E$126,1),9))*('Step 5 Routing'!F740-INDEX('Step 4 Stage Discharge'!E$26:M$126,MATCH('Step 5 Routing'!F740,'Step 4 Stage Discharge'!E$26:E$126,1),1))/(INDEX('Step 4 Stage Discharge'!E$26:M$126,MATCH('Step 5 Routing'!F740,'Step 4 Stage Discharge'!E$26:E$126,1)+1,1)-INDEX('Step 4 Stage Discharge'!E$26:M$126,MATCH('Step 5 Routing'!F740,'Step 4 Stage Discharge'!E$26:E$126,1),1))</f>
        <v>4.3639431710317386E-3</v>
      </c>
      <c r="J740" s="149"/>
      <c r="K740" s="6">
        <f t="shared" si="56"/>
        <v>0</v>
      </c>
      <c r="L740" s="6">
        <f t="shared" si="57"/>
        <v>0</v>
      </c>
    </row>
    <row r="741" spans="1:12">
      <c r="A741">
        <f t="shared" si="58"/>
        <v>728</v>
      </c>
      <c r="B741" s="136">
        <f>IF(C$5=Data!D$3,'Step 2 Inflow Hydrograph'!H785,IF(C$5=Data!D$4,'Step 2 Inflow Hydrograph'!I785,IF(C$5=Data!D$5,'Step 2 Inflow Hydrograph'!J785,'Step 2 Inflow Hydrograph'!K785)))</f>
        <v>0</v>
      </c>
      <c r="C741" s="127"/>
      <c r="D741" s="6">
        <f t="shared" si="55"/>
        <v>0</v>
      </c>
      <c r="E741" s="6"/>
      <c r="F741" s="6">
        <f t="shared" si="59"/>
        <v>0</v>
      </c>
      <c r="G741" s="149">
        <f>INDEX('Step 4 Stage Discharge'!E$26:F$126,MATCH(F741,'Step 4 Stage Discharge'!E$26:E$126,1),2)+(INDEX('Step 4 Stage Discharge'!E$26:F$126,MATCH(F741,'Step 4 Stage Discharge'!E$26:E$126,1)+1,2)-INDEX('Step 4 Stage Discharge'!E$26:F$126,MATCH(F741,'Step 4 Stage Discharge'!E$26:E$126,1),2))*(F741-INDEX('Step 4 Stage Discharge'!E$26:F$126,MATCH(F741,'Step 4 Stage Discharge'!E$26:E$126,1),1))/(INDEX('Step 4 Stage Discharge'!E$26:F$126,MATCH(F741,'Step 4 Stage Discharge'!E$26:E$126,1)+1,1)-INDEX('Step 4 Stage Discharge'!E$26:F$126,MATCH(F741,'Step 4 Stage Discharge'!E$26:E$126,1),1))</f>
        <v>0</v>
      </c>
      <c r="H741" s="149"/>
      <c r="I741" s="149">
        <f>INDEX('Step 4 Stage Discharge'!E$26:M$126,MATCH(F741,'Step 4 Stage Discharge'!E$26:E$126,1),9)+(INDEX('Step 4 Stage Discharge'!E$26:M$126,MATCH('Step 5 Routing'!F741,'Step 4 Stage Discharge'!E$26:E$126,1)+1,9)-INDEX('Step 4 Stage Discharge'!E$26:M$126,MATCH('Step 5 Routing'!F741,'Step 4 Stage Discharge'!E$26:E$126,1),9))*('Step 5 Routing'!F741-INDEX('Step 4 Stage Discharge'!E$26:M$126,MATCH('Step 5 Routing'!F741,'Step 4 Stage Discharge'!E$26:E$126,1),1))/(INDEX('Step 4 Stage Discharge'!E$26:M$126,MATCH('Step 5 Routing'!F741,'Step 4 Stage Discharge'!E$26:E$126,1)+1,1)-INDEX('Step 4 Stage Discharge'!E$26:M$126,MATCH('Step 5 Routing'!F741,'Step 4 Stage Discharge'!E$26:E$126,1),1))</f>
        <v>4.3639431710317386E-3</v>
      </c>
      <c r="J741" s="149"/>
      <c r="K741" s="6">
        <f t="shared" si="56"/>
        <v>0</v>
      </c>
      <c r="L741" s="6">
        <f t="shared" si="57"/>
        <v>0</v>
      </c>
    </row>
    <row r="742" spans="1:12">
      <c r="A742">
        <f t="shared" si="58"/>
        <v>729</v>
      </c>
      <c r="B742" s="136">
        <f>IF(C$5=Data!D$3,'Step 2 Inflow Hydrograph'!H786,IF(C$5=Data!D$4,'Step 2 Inflow Hydrograph'!I786,IF(C$5=Data!D$5,'Step 2 Inflow Hydrograph'!J786,'Step 2 Inflow Hydrograph'!K786)))</f>
        <v>0</v>
      </c>
      <c r="C742" s="127"/>
      <c r="D742" s="6">
        <f t="shared" si="55"/>
        <v>0</v>
      </c>
      <c r="E742" s="6"/>
      <c r="F742" s="6">
        <f t="shared" si="59"/>
        <v>0</v>
      </c>
      <c r="G742" s="149">
        <f>INDEX('Step 4 Stage Discharge'!E$26:F$126,MATCH(F742,'Step 4 Stage Discharge'!E$26:E$126,1),2)+(INDEX('Step 4 Stage Discharge'!E$26:F$126,MATCH(F742,'Step 4 Stage Discharge'!E$26:E$126,1)+1,2)-INDEX('Step 4 Stage Discharge'!E$26:F$126,MATCH(F742,'Step 4 Stage Discharge'!E$26:E$126,1),2))*(F742-INDEX('Step 4 Stage Discharge'!E$26:F$126,MATCH(F742,'Step 4 Stage Discharge'!E$26:E$126,1),1))/(INDEX('Step 4 Stage Discharge'!E$26:F$126,MATCH(F742,'Step 4 Stage Discharge'!E$26:E$126,1)+1,1)-INDEX('Step 4 Stage Discharge'!E$26:F$126,MATCH(F742,'Step 4 Stage Discharge'!E$26:E$126,1),1))</f>
        <v>0</v>
      </c>
      <c r="H742" s="149"/>
      <c r="I742" s="149">
        <f>INDEX('Step 4 Stage Discharge'!E$26:M$126,MATCH(F742,'Step 4 Stage Discharge'!E$26:E$126,1),9)+(INDEX('Step 4 Stage Discharge'!E$26:M$126,MATCH('Step 5 Routing'!F742,'Step 4 Stage Discharge'!E$26:E$126,1)+1,9)-INDEX('Step 4 Stage Discharge'!E$26:M$126,MATCH('Step 5 Routing'!F742,'Step 4 Stage Discharge'!E$26:E$126,1),9))*('Step 5 Routing'!F742-INDEX('Step 4 Stage Discharge'!E$26:M$126,MATCH('Step 5 Routing'!F742,'Step 4 Stage Discharge'!E$26:E$126,1),1))/(INDEX('Step 4 Stage Discharge'!E$26:M$126,MATCH('Step 5 Routing'!F742,'Step 4 Stage Discharge'!E$26:E$126,1)+1,1)-INDEX('Step 4 Stage Discharge'!E$26:M$126,MATCH('Step 5 Routing'!F742,'Step 4 Stage Discharge'!E$26:E$126,1),1))</f>
        <v>4.3639431710317386E-3</v>
      </c>
      <c r="J742" s="149"/>
      <c r="K742" s="6">
        <f t="shared" si="56"/>
        <v>0</v>
      </c>
      <c r="L742" s="6">
        <f t="shared" si="57"/>
        <v>0</v>
      </c>
    </row>
    <row r="743" spans="1:12">
      <c r="A743">
        <f t="shared" si="58"/>
        <v>730</v>
      </c>
      <c r="B743" s="136">
        <f>IF(C$5=Data!D$3,'Step 2 Inflow Hydrograph'!H787,IF(C$5=Data!D$4,'Step 2 Inflow Hydrograph'!I787,IF(C$5=Data!D$5,'Step 2 Inflow Hydrograph'!J787,'Step 2 Inflow Hydrograph'!K787)))</f>
        <v>0</v>
      </c>
      <c r="C743" s="127"/>
      <c r="D743" s="6">
        <f t="shared" si="55"/>
        <v>0</v>
      </c>
      <c r="E743" s="6"/>
      <c r="F743" s="6">
        <f t="shared" si="59"/>
        <v>0</v>
      </c>
      <c r="G743" s="149">
        <f>INDEX('Step 4 Stage Discharge'!E$26:F$126,MATCH(F743,'Step 4 Stage Discharge'!E$26:E$126,1),2)+(INDEX('Step 4 Stage Discharge'!E$26:F$126,MATCH(F743,'Step 4 Stage Discharge'!E$26:E$126,1)+1,2)-INDEX('Step 4 Stage Discharge'!E$26:F$126,MATCH(F743,'Step 4 Stage Discharge'!E$26:E$126,1),2))*(F743-INDEX('Step 4 Stage Discharge'!E$26:F$126,MATCH(F743,'Step 4 Stage Discharge'!E$26:E$126,1),1))/(INDEX('Step 4 Stage Discharge'!E$26:F$126,MATCH(F743,'Step 4 Stage Discharge'!E$26:E$126,1)+1,1)-INDEX('Step 4 Stage Discharge'!E$26:F$126,MATCH(F743,'Step 4 Stage Discharge'!E$26:E$126,1),1))</f>
        <v>0</v>
      </c>
      <c r="H743" s="149"/>
      <c r="I743" s="149">
        <f>INDEX('Step 4 Stage Discharge'!E$26:M$126,MATCH(F743,'Step 4 Stage Discharge'!E$26:E$126,1),9)+(INDEX('Step 4 Stage Discharge'!E$26:M$126,MATCH('Step 5 Routing'!F743,'Step 4 Stage Discharge'!E$26:E$126,1)+1,9)-INDEX('Step 4 Stage Discharge'!E$26:M$126,MATCH('Step 5 Routing'!F743,'Step 4 Stage Discharge'!E$26:E$126,1),9))*('Step 5 Routing'!F743-INDEX('Step 4 Stage Discharge'!E$26:M$126,MATCH('Step 5 Routing'!F743,'Step 4 Stage Discharge'!E$26:E$126,1),1))/(INDEX('Step 4 Stage Discharge'!E$26:M$126,MATCH('Step 5 Routing'!F743,'Step 4 Stage Discharge'!E$26:E$126,1)+1,1)-INDEX('Step 4 Stage Discharge'!E$26:M$126,MATCH('Step 5 Routing'!F743,'Step 4 Stage Discharge'!E$26:E$126,1),1))</f>
        <v>4.3639431710317386E-3</v>
      </c>
      <c r="J743" s="149"/>
      <c r="K743" s="6">
        <f t="shared" si="56"/>
        <v>0</v>
      </c>
      <c r="L743" s="6">
        <f t="shared" si="57"/>
        <v>0</v>
      </c>
    </row>
    <row r="744" spans="1:12">
      <c r="A744">
        <f t="shared" si="58"/>
        <v>731</v>
      </c>
      <c r="B744" s="136">
        <f>IF(C$5=Data!D$3,'Step 2 Inflow Hydrograph'!H788,IF(C$5=Data!D$4,'Step 2 Inflow Hydrograph'!I788,IF(C$5=Data!D$5,'Step 2 Inflow Hydrograph'!J788,'Step 2 Inflow Hydrograph'!K788)))</f>
        <v>0</v>
      </c>
      <c r="C744" s="127"/>
      <c r="D744" s="6">
        <f t="shared" si="55"/>
        <v>0</v>
      </c>
      <c r="E744" s="6"/>
      <c r="F744" s="6">
        <f t="shared" si="59"/>
        <v>0</v>
      </c>
      <c r="G744" s="149">
        <f>INDEX('Step 4 Stage Discharge'!E$26:F$126,MATCH(F744,'Step 4 Stage Discharge'!E$26:E$126,1),2)+(INDEX('Step 4 Stage Discharge'!E$26:F$126,MATCH(F744,'Step 4 Stage Discharge'!E$26:E$126,1)+1,2)-INDEX('Step 4 Stage Discharge'!E$26:F$126,MATCH(F744,'Step 4 Stage Discharge'!E$26:E$126,1),2))*(F744-INDEX('Step 4 Stage Discharge'!E$26:F$126,MATCH(F744,'Step 4 Stage Discharge'!E$26:E$126,1),1))/(INDEX('Step 4 Stage Discharge'!E$26:F$126,MATCH(F744,'Step 4 Stage Discharge'!E$26:E$126,1)+1,1)-INDEX('Step 4 Stage Discharge'!E$26:F$126,MATCH(F744,'Step 4 Stage Discharge'!E$26:E$126,1),1))</f>
        <v>0</v>
      </c>
      <c r="H744" s="149"/>
      <c r="I744" s="149">
        <f>INDEX('Step 4 Stage Discharge'!E$26:M$126,MATCH(F744,'Step 4 Stage Discharge'!E$26:E$126,1),9)+(INDEX('Step 4 Stage Discharge'!E$26:M$126,MATCH('Step 5 Routing'!F744,'Step 4 Stage Discharge'!E$26:E$126,1)+1,9)-INDEX('Step 4 Stage Discharge'!E$26:M$126,MATCH('Step 5 Routing'!F744,'Step 4 Stage Discharge'!E$26:E$126,1),9))*('Step 5 Routing'!F744-INDEX('Step 4 Stage Discharge'!E$26:M$126,MATCH('Step 5 Routing'!F744,'Step 4 Stage Discharge'!E$26:E$126,1),1))/(INDEX('Step 4 Stage Discharge'!E$26:M$126,MATCH('Step 5 Routing'!F744,'Step 4 Stage Discharge'!E$26:E$126,1)+1,1)-INDEX('Step 4 Stage Discharge'!E$26:M$126,MATCH('Step 5 Routing'!F744,'Step 4 Stage Discharge'!E$26:E$126,1),1))</f>
        <v>4.3639431710317386E-3</v>
      </c>
      <c r="J744" s="149"/>
      <c r="K744" s="6">
        <f t="shared" si="56"/>
        <v>0</v>
      </c>
      <c r="L744" s="6">
        <f t="shared" si="57"/>
        <v>0</v>
      </c>
    </row>
    <row r="745" spans="1:12">
      <c r="A745">
        <f t="shared" si="58"/>
        <v>732</v>
      </c>
      <c r="B745" s="136">
        <f>IF(C$5=Data!D$3,'Step 2 Inflow Hydrograph'!H789,IF(C$5=Data!D$4,'Step 2 Inflow Hydrograph'!I789,IF(C$5=Data!D$5,'Step 2 Inflow Hydrograph'!J789,'Step 2 Inflow Hydrograph'!K789)))</f>
        <v>0</v>
      </c>
      <c r="C745" s="127"/>
      <c r="D745" s="6">
        <f t="shared" si="55"/>
        <v>0</v>
      </c>
      <c r="E745" s="6"/>
      <c r="F745" s="6">
        <f t="shared" si="59"/>
        <v>0</v>
      </c>
      <c r="G745" s="149">
        <f>INDEX('Step 4 Stage Discharge'!E$26:F$126,MATCH(F745,'Step 4 Stage Discharge'!E$26:E$126,1),2)+(INDEX('Step 4 Stage Discharge'!E$26:F$126,MATCH(F745,'Step 4 Stage Discharge'!E$26:E$126,1)+1,2)-INDEX('Step 4 Stage Discharge'!E$26:F$126,MATCH(F745,'Step 4 Stage Discharge'!E$26:E$126,1),2))*(F745-INDEX('Step 4 Stage Discharge'!E$26:F$126,MATCH(F745,'Step 4 Stage Discharge'!E$26:E$126,1),1))/(INDEX('Step 4 Stage Discharge'!E$26:F$126,MATCH(F745,'Step 4 Stage Discharge'!E$26:E$126,1)+1,1)-INDEX('Step 4 Stage Discharge'!E$26:F$126,MATCH(F745,'Step 4 Stage Discharge'!E$26:E$126,1),1))</f>
        <v>0</v>
      </c>
      <c r="H745" s="149"/>
      <c r="I745" s="149">
        <f>INDEX('Step 4 Stage Discharge'!E$26:M$126,MATCH(F745,'Step 4 Stage Discharge'!E$26:E$126,1),9)+(INDEX('Step 4 Stage Discharge'!E$26:M$126,MATCH('Step 5 Routing'!F745,'Step 4 Stage Discharge'!E$26:E$126,1)+1,9)-INDEX('Step 4 Stage Discharge'!E$26:M$126,MATCH('Step 5 Routing'!F745,'Step 4 Stage Discharge'!E$26:E$126,1),9))*('Step 5 Routing'!F745-INDEX('Step 4 Stage Discharge'!E$26:M$126,MATCH('Step 5 Routing'!F745,'Step 4 Stage Discharge'!E$26:E$126,1),1))/(INDEX('Step 4 Stage Discharge'!E$26:M$126,MATCH('Step 5 Routing'!F745,'Step 4 Stage Discharge'!E$26:E$126,1)+1,1)-INDEX('Step 4 Stage Discharge'!E$26:M$126,MATCH('Step 5 Routing'!F745,'Step 4 Stage Discharge'!E$26:E$126,1),1))</f>
        <v>4.3639431710317386E-3</v>
      </c>
      <c r="J745" s="149"/>
      <c r="K745" s="6">
        <f t="shared" si="56"/>
        <v>0</v>
      </c>
      <c r="L745" s="6">
        <f t="shared" si="57"/>
        <v>0</v>
      </c>
    </row>
    <row r="746" spans="1:12">
      <c r="A746">
        <f t="shared" si="58"/>
        <v>733</v>
      </c>
      <c r="B746" s="136">
        <f>IF(C$5=Data!D$3,'Step 2 Inflow Hydrograph'!H790,IF(C$5=Data!D$4,'Step 2 Inflow Hydrograph'!I790,IF(C$5=Data!D$5,'Step 2 Inflow Hydrograph'!J790,'Step 2 Inflow Hydrograph'!K790)))</f>
        <v>0</v>
      </c>
      <c r="C746" s="127"/>
      <c r="D746" s="6">
        <f t="shared" si="55"/>
        <v>0</v>
      </c>
      <c r="E746" s="6"/>
      <c r="F746" s="6">
        <f t="shared" si="59"/>
        <v>0</v>
      </c>
      <c r="G746" s="149">
        <f>INDEX('Step 4 Stage Discharge'!E$26:F$126,MATCH(F746,'Step 4 Stage Discharge'!E$26:E$126,1),2)+(INDEX('Step 4 Stage Discharge'!E$26:F$126,MATCH(F746,'Step 4 Stage Discharge'!E$26:E$126,1)+1,2)-INDEX('Step 4 Stage Discharge'!E$26:F$126,MATCH(F746,'Step 4 Stage Discharge'!E$26:E$126,1),2))*(F746-INDEX('Step 4 Stage Discharge'!E$26:F$126,MATCH(F746,'Step 4 Stage Discharge'!E$26:E$126,1),1))/(INDEX('Step 4 Stage Discharge'!E$26:F$126,MATCH(F746,'Step 4 Stage Discharge'!E$26:E$126,1)+1,1)-INDEX('Step 4 Stage Discharge'!E$26:F$126,MATCH(F746,'Step 4 Stage Discharge'!E$26:E$126,1),1))</f>
        <v>0</v>
      </c>
      <c r="H746" s="149"/>
      <c r="I746" s="149">
        <f>INDEX('Step 4 Stage Discharge'!E$26:M$126,MATCH(F746,'Step 4 Stage Discharge'!E$26:E$126,1),9)+(INDEX('Step 4 Stage Discharge'!E$26:M$126,MATCH('Step 5 Routing'!F746,'Step 4 Stage Discharge'!E$26:E$126,1)+1,9)-INDEX('Step 4 Stage Discharge'!E$26:M$126,MATCH('Step 5 Routing'!F746,'Step 4 Stage Discharge'!E$26:E$126,1),9))*('Step 5 Routing'!F746-INDEX('Step 4 Stage Discharge'!E$26:M$126,MATCH('Step 5 Routing'!F746,'Step 4 Stage Discharge'!E$26:E$126,1),1))/(INDEX('Step 4 Stage Discharge'!E$26:M$126,MATCH('Step 5 Routing'!F746,'Step 4 Stage Discharge'!E$26:E$126,1)+1,1)-INDEX('Step 4 Stage Discharge'!E$26:M$126,MATCH('Step 5 Routing'!F746,'Step 4 Stage Discharge'!E$26:E$126,1),1))</f>
        <v>4.3639431710317386E-3</v>
      </c>
      <c r="J746" s="149"/>
      <c r="K746" s="6">
        <f t="shared" si="56"/>
        <v>0</v>
      </c>
      <c r="L746" s="6">
        <f t="shared" si="57"/>
        <v>0</v>
      </c>
    </row>
    <row r="747" spans="1:12">
      <c r="A747">
        <f t="shared" si="58"/>
        <v>734</v>
      </c>
      <c r="B747" s="136">
        <f>IF(C$5=Data!D$3,'Step 2 Inflow Hydrograph'!H791,IF(C$5=Data!D$4,'Step 2 Inflow Hydrograph'!I791,IF(C$5=Data!D$5,'Step 2 Inflow Hydrograph'!J791,'Step 2 Inflow Hydrograph'!K791)))</f>
        <v>0</v>
      </c>
      <c r="C747" s="127"/>
      <c r="D747" s="6">
        <f t="shared" si="55"/>
        <v>0</v>
      </c>
      <c r="E747" s="6"/>
      <c r="F747" s="6">
        <f t="shared" si="59"/>
        <v>0</v>
      </c>
      <c r="G747" s="149">
        <f>INDEX('Step 4 Stage Discharge'!E$26:F$126,MATCH(F747,'Step 4 Stage Discharge'!E$26:E$126,1),2)+(INDEX('Step 4 Stage Discharge'!E$26:F$126,MATCH(F747,'Step 4 Stage Discharge'!E$26:E$126,1)+1,2)-INDEX('Step 4 Stage Discharge'!E$26:F$126,MATCH(F747,'Step 4 Stage Discharge'!E$26:E$126,1),2))*(F747-INDEX('Step 4 Stage Discharge'!E$26:F$126,MATCH(F747,'Step 4 Stage Discharge'!E$26:E$126,1),1))/(INDEX('Step 4 Stage Discharge'!E$26:F$126,MATCH(F747,'Step 4 Stage Discharge'!E$26:E$126,1)+1,1)-INDEX('Step 4 Stage Discharge'!E$26:F$126,MATCH(F747,'Step 4 Stage Discharge'!E$26:E$126,1),1))</f>
        <v>0</v>
      </c>
      <c r="H747" s="149"/>
      <c r="I747" s="149">
        <f>INDEX('Step 4 Stage Discharge'!E$26:M$126,MATCH(F747,'Step 4 Stage Discharge'!E$26:E$126,1),9)+(INDEX('Step 4 Stage Discharge'!E$26:M$126,MATCH('Step 5 Routing'!F747,'Step 4 Stage Discharge'!E$26:E$126,1)+1,9)-INDEX('Step 4 Stage Discharge'!E$26:M$126,MATCH('Step 5 Routing'!F747,'Step 4 Stage Discharge'!E$26:E$126,1),9))*('Step 5 Routing'!F747-INDEX('Step 4 Stage Discharge'!E$26:M$126,MATCH('Step 5 Routing'!F747,'Step 4 Stage Discharge'!E$26:E$126,1),1))/(INDEX('Step 4 Stage Discharge'!E$26:M$126,MATCH('Step 5 Routing'!F747,'Step 4 Stage Discharge'!E$26:E$126,1)+1,1)-INDEX('Step 4 Stage Discharge'!E$26:M$126,MATCH('Step 5 Routing'!F747,'Step 4 Stage Discharge'!E$26:E$126,1),1))</f>
        <v>4.3639431710317386E-3</v>
      </c>
      <c r="J747" s="149"/>
      <c r="K747" s="6">
        <f t="shared" si="56"/>
        <v>0</v>
      </c>
      <c r="L747" s="6">
        <f t="shared" si="57"/>
        <v>0</v>
      </c>
    </row>
    <row r="748" spans="1:12">
      <c r="A748">
        <f t="shared" si="58"/>
        <v>735</v>
      </c>
      <c r="B748" s="136">
        <f>IF(C$5=Data!D$3,'Step 2 Inflow Hydrograph'!H792,IF(C$5=Data!D$4,'Step 2 Inflow Hydrograph'!I792,IF(C$5=Data!D$5,'Step 2 Inflow Hydrograph'!J792,'Step 2 Inflow Hydrograph'!K792)))</f>
        <v>0</v>
      </c>
      <c r="C748" s="127"/>
      <c r="D748" s="6">
        <f t="shared" si="55"/>
        <v>0</v>
      </c>
      <c r="E748" s="6"/>
      <c r="F748" s="6">
        <f t="shared" si="59"/>
        <v>0</v>
      </c>
      <c r="G748" s="149">
        <f>INDEX('Step 4 Stage Discharge'!E$26:F$126,MATCH(F748,'Step 4 Stage Discharge'!E$26:E$126,1),2)+(INDEX('Step 4 Stage Discharge'!E$26:F$126,MATCH(F748,'Step 4 Stage Discharge'!E$26:E$126,1)+1,2)-INDEX('Step 4 Stage Discharge'!E$26:F$126,MATCH(F748,'Step 4 Stage Discharge'!E$26:E$126,1),2))*(F748-INDEX('Step 4 Stage Discharge'!E$26:F$126,MATCH(F748,'Step 4 Stage Discharge'!E$26:E$126,1),1))/(INDEX('Step 4 Stage Discharge'!E$26:F$126,MATCH(F748,'Step 4 Stage Discharge'!E$26:E$126,1)+1,1)-INDEX('Step 4 Stage Discharge'!E$26:F$126,MATCH(F748,'Step 4 Stage Discharge'!E$26:E$126,1),1))</f>
        <v>0</v>
      </c>
      <c r="H748" s="149"/>
      <c r="I748" s="149">
        <f>INDEX('Step 4 Stage Discharge'!E$26:M$126,MATCH(F748,'Step 4 Stage Discharge'!E$26:E$126,1),9)+(INDEX('Step 4 Stage Discharge'!E$26:M$126,MATCH('Step 5 Routing'!F748,'Step 4 Stage Discharge'!E$26:E$126,1)+1,9)-INDEX('Step 4 Stage Discharge'!E$26:M$126,MATCH('Step 5 Routing'!F748,'Step 4 Stage Discharge'!E$26:E$126,1),9))*('Step 5 Routing'!F748-INDEX('Step 4 Stage Discharge'!E$26:M$126,MATCH('Step 5 Routing'!F748,'Step 4 Stage Discharge'!E$26:E$126,1),1))/(INDEX('Step 4 Stage Discharge'!E$26:M$126,MATCH('Step 5 Routing'!F748,'Step 4 Stage Discharge'!E$26:E$126,1)+1,1)-INDEX('Step 4 Stage Discharge'!E$26:M$126,MATCH('Step 5 Routing'!F748,'Step 4 Stage Discharge'!E$26:E$126,1),1))</f>
        <v>4.3639431710317386E-3</v>
      </c>
      <c r="J748" s="149"/>
      <c r="K748" s="6">
        <f t="shared" si="56"/>
        <v>0</v>
      </c>
      <c r="L748" s="6">
        <f t="shared" si="57"/>
        <v>0</v>
      </c>
    </row>
    <row r="749" spans="1:12">
      <c r="A749">
        <f t="shared" si="58"/>
        <v>736</v>
      </c>
      <c r="B749" s="136">
        <f>IF(C$5=Data!D$3,'Step 2 Inflow Hydrograph'!H793,IF(C$5=Data!D$4,'Step 2 Inflow Hydrograph'!I793,IF(C$5=Data!D$5,'Step 2 Inflow Hydrograph'!J793,'Step 2 Inflow Hydrograph'!K793)))</f>
        <v>0</v>
      </c>
      <c r="C749" s="127"/>
      <c r="D749" s="6">
        <f t="shared" si="55"/>
        <v>0</v>
      </c>
      <c r="E749" s="6"/>
      <c r="F749" s="6">
        <f t="shared" si="59"/>
        <v>0</v>
      </c>
      <c r="G749" s="149">
        <f>INDEX('Step 4 Stage Discharge'!E$26:F$126,MATCH(F749,'Step 4 Stage Discharge'!E$26:E$126,1),2)+(INDEX('Step 4 Stage Discharge'!E$26:F$126,MATCH(F749,'Step 4 Stage Discharge'!E$26:E$126,1)+1,2)-INDEX('Step 4 Stage Discharge'!E$26:F$126,MATCH(F749,'Step 4 Stage Discharge'!E$26:E$126,1),2))*(F749-INDEX('Step 4 Stage Discharge'!E$26:F$126,MATCH(F749,'Step 4 Stage Discharge'!E$26:E$126,1),1))/(INDEX('Step 4 Stage Discharge'!E$26:F$126,MATCH(F749,'Step 4 Stage Discharge'!E$26:E$126,1)+1,1)-INDEX('Step 4 Stage Discharge'!E$26:F$126,MATCH(F749,'Step 4 Stage Discharge'!E$26:E$126,1),1))</f>
        <v>0</v>
      </c>
      <c r="H749" s="149"/>
      <c r="I749" s="149">
        <f>INDEX('Step 4 Stage Discharge'!E$26:M$126,MATCH(F749,'Step 4 Stage Discharge'!E$26:E$126,1),9)+(INDEX('Step 4 Stage Discharge'!E$26:M$126,MATCH('Step 5 Routing'!F749,'Step 4 Stage Discharge'!E$26:E$126,1)+1,9)-INDEX('Step 4 Stage Discharge'!E$26:M$126,MATCH('Step 5 Routing'!F749,'Step 4 Stage Discharge'!E$26:E$126,1),9))*('Step 5 Routing'!F749-INDEX('Step 4 Stage Discharge'!E$26:M$126,MATCH('Step 5 Routing'!F749,'Step 4 Stage Discharge'!E$26:E$126,1),1))/(INDEX('Step 4 Stage Discharge'!E$26:M$126,MATCH('Step 5 Routing'!F749,'Step 4 Stage Discharge'!E$26:E$126,1)+1,1)-INDEX('Step 4 Stage Discharge'!E$26:M$126,MATCH('Step 5 Routing'!F749,'Step 4 Stage Discharge'!E$26:E$126,1),1))</f>
        <v>4.3639431710317386E-3</v>
      </c>
      <c r="J749" s="149"/>
      <c r="K749" s="6">
        <f t="shared" si="56"/>
        <v>0</v>
      </c>
      <c r="L749" s="6">
        <f t="shared" si="57"/>
        <v>0</v>
      </c>
    </row>
    <row r="750" spans="1:12">
      <c r="A750">
        <f t="shared" si="58"/>
        <v>737</v>
      </c>
      <c r="B750" s="136">
        <f>IF(C$5=Data!D$3,'Step 2 Inflow Hydrograph'!H794,IF(C$5=Data!D$4,'Step 2 Inflow Hydrograph'!I794,IF(C$5=Data!D$5,'Step 2 Inflow Hydrograph'!J794,'Step 2 Inflow Hydrograph'!K794)))</f>
        <v>0</v>
      </c>
      <c r="C750" s="127"/>
      <c r="D750" s="6">
        <f t="shared" si="55"/>
        <v>0</v>
      </c>
      <c r="E750" s="6"/>
      <c r="F750" s="6">
        <f t="shared" si="59"/>
        <v>0</v>
      </c>
      <c r="G750" s="149">
        <f>INDEX('Step 4 Stage Discharge'!E$26:F$126,MATCH(F750,'Step 4 Stage Discharge'!E$26:E$126,1),2)+(INDEX('Step 4 Stage Discharge'!E$26:F$126,MATCH(F750,'Step 4 Stage Discharge'!E$26:E$126,1)+1,2)-INDEX('Step 4 Stage Discharge'!E$26:F$126,MATCH(F750,'Step 4 Stage Discharge'!E$26:E$126,1),2))*(F750-INDEX('Step 4 Stage Discharge'!E$26:F$126,MATCH(F750,'Step 4 Stage Discharge'!E$26:E$126,1),1))/(INDEX('Step 4 Stage Discharge'!E$26:F$126,MATCH(F750,'Step 4 Stage Discharge'!E$26:E$126,1)+1,1)-INDEX('Step 4 Stage Discharge'!E$26:F$126,MATCH(F750,'Step 4 Stage Discharge'!E$26:E$126,1),1))</f>
        <v>0</v>
      </c>
      <c r="H750" s="149"/>
      <c r="I750" s="149">
        <f>INDEX('Step 4 Stage Discharge'!E$26:M$126,MATCH(F750,'Step 4 Stage Discharge'!E$26:E$126,1),9)+(INDEX('Step 4 Stage Discharge'!E$26:M$126,MATCH('Step 5 Routing'!F750,'Step 4 Stage Discharge'!E$26:E$126,1)+1,9)-INDEX('Step 4 Stage Discharge'!E$26:M$126,MATCH('Step 5 Routing'!F750,'Step 4 Stage Discharge'!E$26:E$126,1),9))*('Step 5 Routing'!F750-INDEX('Step 4 Stage Discharge'!E$26:M$126,MATCH('Step 5 Routing'!F750,'Step 4 Stage Discharge'!E$26:E$126,1),1))/(INDEX('Step 4 Stage Discharge'!E$26:M$126,MATCH('Step 5 Routing'!F750,'Step 4 Stage Discharge'!E$26:E$126,1)+1,1)-INDEX('Step 4 Stage Discharge'!E$26:M$126,MATCH('Step 5 Routing'!F750,'Step 4 Stage Discharge'!E$26:E$126,1),1))</f>
        <v>4.3639431710317386E-3</v>
      </c>
      <c r="J750" s="149"/>
      <c r="K750" s="6">
        <f t="shared" si="56"/>
        <v>0</v>
      </c>
      <c r="L750" s="6">
        <f t="shared" si="57"/>
        <v>0</v>
      </c>
    </row>
    <row r="751" spans="1:12">
      <c r="A751">
        <f t="shared" si="58"/>
        <v>738</v>
      </c>
      <c r="B751" s="136">
        <f>IF(C$5=Data!D$3,'Step 2 Inflow Hydrograph'!H795,IF(C$5=Data!D$4,'Step 2 Inflow Hydrograph'!I795,IF(C$5=Data!D$5,'Step 2 Inflow Hydrograph'!J795,'Step 2 Inflow Hydrograph'!K795)))</f>
        <v>0</v>
      </c>
      <c r="C751" s="127"/>
      <c r="D751" s="6">
        <f t="shared" si="55"/>
        <v>0</v>
      </c>
      <c r="E751" s="6"/>
      <c r="F751" s="6">
        <f t="shared" si="59"/>
        <v>0</v>
      </c>
      <c r="G751" s="149">
        <f>INDEX('Step 4 Stage Discharge'!E$26:F$126,MATCH(F751,'Step 4 Stage Discharge'!E$26:E$126,1),2)+(INDEX('Step 4 Stage Discharge'!E$26:F$126,MATCH(F751,'Step 4 Stage Discharge'!E$26:E$126,1)+1,2)-INDEX('Step 4 Stage Discharge'!E$26:F$126,MATCH(F751,'Step 4 Stage Discharge'!E$26:E$126,1),2))*(F751-INDEX('Step 4 Stage Discharge'!E$26:F$126,MATCH(F751,'Step 4 Stage Discharge'!E$26:E$126,1),1))/(INDEX('Step 4 Stage Discharge'!E$26:F$126,MATCH(F751,'Step 4 Stage Discharge'!E$26:E$126,1)+1,1)-INDEX('Step 4 Stage Discharge'!E$26:F$126,MATCH(F751,'Step 4 Stage Discharge'!E$26:E$126,1),1))</f>
        <v>0</v>
      </c>
      <c r="H751" s="149"/>
      <c r="I751" s="149">
        <f>INDEX('Step 4 Stage Discharge'!E$26:M$126,MATCH(F751,'Step 4 Stage Discharge'!E$26:E$126,1),9)+(INDEX('Step 4 Stage Discharge'!E$26:M$126,MATCH('Step 5 Routing'!F751,'Step 4 Stage Discharge'!E$26:E$126,1)+1,9)-INDEX('Step 4 Stage Discharge'!E$26:M$126,MATCH('Step 5 Routing'!F751,'Step 4 Stage Discharge'!E$26:E$126,1),9))*('Step 5 Routing'!F751-INDEX('Step 4 Stage Discharge'!E$26:M$126,MATCH('Step 5 Routing'!F751,'Step 4 Stage Discharge'!E$26:E$126,1),1))/(INDEX('Step 4 Stage Discharge'!E$26:M$126,MATCH('Step 5 Routing'!F751,'Step 4 Stage Discharge'!E$26:E$126,1)+1,1)-INDEX('Step 4 Stage Discharge'!E$26:M$126,MATCH('Step 5 Routing'!F751,'Step 4 Stage Discharge'!E$26:E$126,1),1))</f>
        <v>4.3639431710317386E-3</v>
      </c>
      <c r="J751" s="149"/>
      <c r="K751" s="6">
        <f t="shared" si="56"/>
        <v>0</v>
      </c>
      <c r="L751" s="6">
        <f t="shared" si="57"/>
        <v>0</v>
      </c>
    </row>
    <row r="752" spans="1:12">
      <c r="A752">
        <f t="shared" si="58"/>
        <v>739</v>
      </c>
      <c r="B752" s="136">
        <f>IF(C$5=Data!D$3,'Step 2 Inflow Hydrograph'!H796,IF(C$5=Data!D$4,'Step 2 Inflow Hydrograph'!I796,IF(C$5=Data!D$5,'Step 2 Inflow Hydrograph'!J796,'Step 2 Inflow Hydrograph'!K796)))</f>
        <v>0</v>
      </c>
      <c r="C752" s="127"/>
      <c r="D752" s="6">
        <f t="shared" si="55"/>
        <v>0</v>
      </c>
      <c r="E752" s="6"/>
      <c r="F752" s="6">
        <f t="shared" si="59"/>
        <v>0</v>
      </c>
      <c r="G752" s="149">
        <f>INDEX('Step 4 Stage Discharge'!E$26:F$126,MATCH(F752,'Step 4 Stage Discharge'!E$26:E$126,1),2)+(INDEX('Step 4 Stage Discharge'!E$26:F$126,MATCH(F752,'Step 4 Stage Discharge'!E$26:E$126,1)+1,2)-INDEX('Step 4 Stage Discharge'!E$26:F$126,MATCH(F752,'Step 4 Stage Discharge'!E$26:E$126,1),2))*(F752-INDEX('Step 4 Stage Discharge'!E$26:F$126,MATCH(F752,'Step 4 Stage Discharge'!E$26:E$126,1),1))/(INDEX('Step 4 Stage Discharge'!E$26:F$126,MATCH(F752,'Step 4 Stage Discharge'!E$26:E$126,1)+1,1)-INDEX('Step 4 Stage Discharge'!E$26:F$126,MATCH(F752,'Step 4 Stage Discharge'!E$26:E$126,1),1))</f>
        <v>0</v>
      </c>
      <c r="H752" s="149"/>
      <c r="I752" s="149">
        <f>INDEX('Step 4 Stage Discharge'!E$26:M$126,MATCH(F752,'Step 4 Stage Discharge'!E$26:E$126,1),9)+(INDEX('Step 4 Stage Discharge'!E$26:M$126,MATCH('Step 5 Routing'!F752,'Step 4 Stage Discharge'!E$26:E$126,1)+1,9)-INDEX('Step 4 Stage Discharge'!E$26:M$126,MATCH('Step 5 Routing'!F752,'Step 4 Stage Discharge'!E$26:E$126,1),9))*('Step 5 Routing'!F752-INDEX('Step 4 Stage Discharge'!E$26:M$126,MATCH('Step 5 Routing'!F752,'Step 4 Stage Discharge'!E$26:E$126,1),1))/(INDEX('Step 4 Stage Discharge'!E$26:M$126,MATCH('Step 5 Routing'!F752,'Step 4 Stage Discharge'!E$26:E$126,1)+1,1)-INDEX('Step 4 Stage Discharge'!E$26:M$126,MATCH('Step 5 Routing'!F752,'Step 4 Stage Discharge'!E$26:E$126,1),1))</f>
        <v>4.3639431710317386E-3</v>
      </c>
      <c r="J752" s="149"/>
      <c r="K752" s="6">
        <f t="shared" si="56"/>
        <v>0</v>
      </c>
      <c r="L752" s="6">
        <f t="shared" si="57"/>
        <v>0</v>
      </c>
    </row>
    <row r="753" spans="1:12">
      <c r="A753">
        <f t="shared" si="58"/>
        <v>740</v>
      </c>
      <c r="B753" s="136">
        <f>IF(C$5=Data!D$3,'Step 2 Inflow Hydrograph'!H797,IF(C$5=Data!D$4,'Step 2 Inflow Hydrograph'!I797,IF(C$5=Data!D$5,'Step 2 Inflow Hydrograph'!J797,'Step 2 Inflow Hydrograph'!K797)))</f>
        <v>0</v>
      </c>
      <c r="C753" s="127"/>
      <c r="D753" s="6">
        <f t="shared" si="55"/>
        <v>0</v>
      </c>
      <c r="E753" s="6"/>
      <c r="F753" s="6">
        <f t="shared" si="59"/>
        <v>0</v>
      </c>
      <c r="G753" s="149">
        <f>INDEX('Step 4 Stage Discharge'!E$26:F$126,MATCH(F753,'Step 4 Stage Discharge'!E$26:E$126,1),2)+(INDEX('Step 4 Stage Discharge'!E$26:F$126,MATCH(F753,'Step 4 Stage Discharge'!E$26:E$126,1)+1,2)-INDEX('Step 4 Stage Discharge'!E$26:F$126,MATCH(F753,'Step 4 Stage Discharge'!E$26:E$126,1),2))*(F753-INDEX('Step 4 Stage Discharge'!E$26:F$126,MATCH(F753,'Step 4 Stage Discharge'!E$26:E$126,1),1))/(INDEX('Step 4 Stage Discharge'!E$26:F$126,MATCH(F753,'Step 4 Stage Discharge'!E$26:E$126,1)+1,1)-INDEX('Step 4 Stage Discharge'!E$26:F$126,MATCH(F753,'Step 4 Stage Discharge'!E$26:E$126,1),1))</f>
        <v>0</v>
      </c>
      <c r="H753" s="149"/>
      <c r="I753" s="149">
        <f>INDEX('Step 4 Stage Discharge'!E$26:M$126,MATCH(F753,'Step 4 Stage Discharge'!E$26:E$126,1),9)+(INDEX('Step 4 Stage Discharge'!E$26:M$126,MATCH('Step 5 Routing'!F753,'Step 4 Stage Discharge'!E$26:E$126,1)+1,9)-INDEX('Step 4 Stage Discharge'!E$26:M$126,MATCH('Step 5 Routing'!F753,'Step 4 Stage Discharge'!E$26:E$126,1),9))*('Step 5 Routing'!F753-INDEX('Step 4 Stage Discharge'!E$26:M$126,MATCH('Step 5 Routing'!F753,'Step 4 Stage Discharge'!E$26:E$126,1),1))/(INDEX('Step 4 Stage Discharge'!E$26:M$126,MATCH('Step 5 Routing'!F753,'Step 4 Stage Discharge'!E$26:E$126,1)+1,1)-INDEX('Step 4 Stage Discharge'!E$26:M$126,MATCH('Step 5 Routing'!F753,'Step 4 Stage Discharge'!E$26:E$126,1),1))</f>
        <v>4.3639431710317386E-3</v>
      </c>
      <c r="J753" s="149"/>
      <c r="K753" s="6">
        <f t="shared" si="56"/>
        <v>0</v>
      </c>
      <c r="L753" s="6">
        <f t="shared" si="57"/>
        <v>0</v>
      </c>
    </row>
    <row r="754" spans="1:12">
      <c r="A754">
        <f t="shared" si="58"/>
        <v>741</v>
      </c>
      <c r="B754" s="136">
        <f>IF(C$5=Data!D$3,'Step 2 Inflow Hydrograph'!H798,IF(C$5=Data!D$4,'Step 2 Inflow Hydrograph'!I798,IF(C$5=Data!D$5,'Step 2 Inflow Hydrograph'!J798,'Step 2 Inflow Hydrograph'!K798)))</f>
        <v>0</v>
      </c>
      <c r="C754" s="127"/>
      <c r="D754" s="6">
        <f t="shared" si="55"/>
        <v>0</v>
      </c>
      <c r="E754" s="6"/>
      <c r="F754" s="6">
        <f t="shared" si="59"/>
        <v>0</v>
      </c>
      <c r="G754" s="149">
        <f>INDEX('Step 4 Stage Discharge'!E$26:F$126,MATCH(F754,'Step 4 Stage Discharge'!E$26:E$126,1),2)+(INDEX('Step 4 Stage Discharge'!E$26:F$126,MATCH(F754,'Step 4 Stage Discharge'!E$26:E$126,1)+1,2)-INDEX('Step 4 Stage Discharge'!E$26:F$126,MATCH(F754,'Step 4 Stage Discharge'!E$26:E$126,1),2))*(F754-INDEX('Step 4 Stage Discharge'!E$26:F$126,MATCH(F754,'Step 4 Stage Discharge'!E$26:E$126,1),1))/(INDEX('Step 4 Stage Discharge'!E$26:F$126,MATCH(F754,'Step 4 Stage Discharge'!E$26:E$126,1)+1,1)-INDEX('Step 4 Stage Discharge'!E$26:F$126,MATCH(F754,'Step 4 Stage Discharge'!E$26:E$126,1),1))</f>
        <v>0</v>
      </c>
      <c r="H754" s="149"/>
      <c r="I754" s="149">
        <f>INDEX('Step 4 Stage Discharge'!E$26:M$126,MATCH(F754,'Step 4 Stage Discharge'!E$26:E$126,1),9)+(INDEX('Step 4 Stage Discharge'!E$26:M$126,MATCH('Step 5 Routing'!F754,'Step 4 Stage Discharge'!E$26:E$126,1)+1,9)-INDEX('Step 4 Stage Discharge'!E$26:M$126,MATCH('Step 5 Routing'!F754,'Step 4 Stage Discharge'!E$26:E$126,1),9))*('Step 5 Routing'!F754-INDEX('Step 4 Stage Discharge'!E$26:M$126,MATCH('Step 5 Routing'!F754,'Step 4 Stage Discharge'!E$26:E$126,1),1))/(INDEX('Step 4 Stage Discharge'!E$26:M$126,MATCH('Step 5 Routing'!F754,'Step 4 Stage Discharge'!E$26:E$126,1)+1,1)-INDEX('Step 4 Stage Discharge'!E$26:M$126,MATCH('Step 5 Routing'!F754,'Step 4 Stage Discharge'!E$26:E$126,1),1))</f>
        <v>4.3639431710317386E-3</v>
      </c>
      <c r="J754" s="149"/>
      <c r="K754" s="6">
        <f t="shared" si="56"/>
        <v>0</v>
      </c>
      <c r="L754" s="6">
        <f t="shared" si="57"/>
        <v>0</v>
      </c>
    </row>
    <row r="755" spans="1:12">
      <c r="A755">
        <f t="shared" si="58"/>
        <v>742</v>
      </c>
      <c r="B755" s="136">
        <f>IF(C$5=Data!D$3,'Step 2 Inflow Hydrograph'!H799,IF(C$5=Data!D$4,'Step 2 Inflow Hydrograph'!I799,IF(C$5=Data!D$5,'Step 2 Inflow Hydrograph'!J799,'Step 2 Inflow Hydrograph'!K799)))</f>
        <v>0</v>
      </c>
      <c r="C755" s="127"/>
      <c r="D755" s="6">
        <f t="shared" si="55"/>
        <v>0</v>
      </c>
      <c r="E755" s="6"/>
      <c r="F755" s="6">
        <f t="shared" si="59"/>
        <v>0</v>
      </c>
      <c r="G755" s="149">
        <f>INDEX('Step 4 Stage Discharge'!E$26:F$126,MATCH(F755,'Step 4 Stage Discharge'!E$26:E$126,1),2)+(INDEX('Step 4 Stage Discharge'!E$26:F$126,MATCH(F755,'Step 4 Stage Discharge'!E$26:E$126,1)+1,2)-INDEX('Step 4 Stage Discharge'!E$26:F$126,MATCH(F755,'Step 4 Stage Discharge'!E$26:E$126,1),2))*(F755-INDEX('Step 4 Stage Discharge'!E$26:F$126,MATCH(F755,'Step 4 Stage Discharge'!E$26:E$126,1),1))/(INDEX('Step 4 Stage Discharge'!E$26:F$126,MATCH(F755,'Step 4 Stage Discharge'!E$26:E$126,1)+1,1)-INDEX('Step 4 Stage Discharge'!E$26:F$126,MATCH(F755,'Step 4 Stage Discharge'!E$26:E$126,1),1))</f>
        <v>0</v>
      </c>
      <c r="H755" s="149"/>
      <c r="I755" s="149">
        <f>INDEX('Step 4 Stage Discharge'!E$26:M$126,MATCH(F755,'Step 4 Stage Discharge'!E$26:E$126,1),9)+(INDEX('Step 4 Stage Discharge'!E$26:M$126,MATCH('Step 5 Routing'!F755,'Step 4 Stage Discharge'!E$26:E$126,1)+1,9)-INDEX('Step 4 Stage Discharge'!E$26:M$126,MATCH('Step 5 Routing'!F755,'Step 4 Stage Discharge'!E$26:E$126,1),9))*('Step 5 Routing'!F755-INDEX('Step 4 Stage Discharge'!E$26:M$126,MATCH('Step 5 Routing'!F755,'Step 4 Stage Discharge'!E$26:E$126,1),1))/(INDEX('Step 4 Stage Discharge'!E$26:M$126,MATCH('Step 5 Routing'!F755,'Step 4 Stage Discharge'!E$26:E$126,1)+1,1)-INDEX('Step 4 Stage Discharge'!E$26:M$126,MATCH('Step 5 Routing'!F755,'Step 4 Stage Discharge'!E$26:E$126,1),1))</f>
        <v>4.3639431710317386E-3</v>
      </c>
      <c r="J755" s="149"/>
      <c r="K755" s="6">
        <f t="shared" si="56"/>
        <v>0</v>
      </c>
      <c r="L755" s="6">
        <f t="shared" si="57"/>
        <v>0</v>
      </c>
    </row>
    <row r="756" spans="1:12">
      <c r="A756">
        <f t="shared" si="58"/>
        <v>743</v>
      </c>
      <c r="B756" s="136">
        <f>IF(C$5=Data!D$3,'Step 2 Inflow Hydrograph'!H800,IF(C$5=Data!D$4,'Step 2 Inflow Hydrograph'!I800,IF(C$5=Data!D$5,'Step 2 Inflow Hydrograph'!J800,'Step 2 Inflow Hydrograph'!K800)))</f>
        <v>0</v>
      </c>
      <c r="C756" s="127"/>
      <c r="D756" s="6">
        <f t="shared" si="55"/>
        <v>0</v>
      </c>
      <c r="E756" s="6"/>
      <c r="F756" s="6">
        <f t="shared" si="59"/>
        <v>0</v>
      </c>
      <c r="G756" s="149">
        <f>INDEX('Step 4 Stage Discharge'!E$26:F$126,MATCH(F756,'Step 4 Stage Discharge'!E$26:E$126,1),2)+(INDEX('Step 4 Stage Discharge'!E$26:F$126,MATCH(F756,'Step 4 Stage Discharge'!E$26:E$126,1)+1,2)-INDEX('Step 4 Stage Discharge'!E$26:F$126,MATCH(F756,'Step 4 Stage Discharge'!E$26:E$126,1),2))*(F756-INDEX('Step 4 Stage Discharge'!E$26:F$126,MATCH(F756,'Step 4 Stage Discharge'!E$26:E$126,1),1))/(INDEX('Step 4 Stage Discharge'!E$26:F$126,MATCH(F756,'Step 4 Stage Discharge'!E$26:E$126,1)+1,1)-INDEX('Step 4 Stage Discharge'!E$26:F$126,MATCH(F756,'Step 4 Stage Discharge'!E$26:E$126,1),1))</f>
        <v>0</v>
      </c>
      <c r="H756" s="149"/>
      <c r="I756" s="149">
        <f>INDEX('Step 4 Stage Discharge'!E$26:M$126,MATCH(F756,'Step 4 Stage Discharge'!E$26:E$126,1),9)+(INDEX('Step 4 Stage Discharge'!E$26:M$126,MATCH('Step 5 Routing'!F756,'Step 4 Stage Discharge'!E$26:E$126,1)+1,9)-INDEX('Step 4 Stage Discharge'!E$26:M$126,MATCH('Step 5 Routing'!F756,'Step 4 Stage Discharge'!E$26:E$126,1),9))*('Step 5 Routing'!F756-INDEX('Step 4 Stage Discharge'!E$26:M$126,MATCH('Step 5 Routing'!F756,'Step 4 Stage Discharge'!E$26:E$126,1),1))/(INDEX('Step 4 Stage Discharge'!E$26:M$126,MATCH('Step 5 Routing'!F756,'Step 4 Stage Discharge'!E$26:E$126,1)+1,1)-INDEX('Step 4 Stage Discharge'!E$26:M$126,MATCH('Step 5 Routing'!F756,'Step 4 Stage Discharge'!E$26:E$126,1),1))</f>
        <v>4.3639431710317386E-3</v>
      </c>
      <c r="J756" s="149"/>
      <c r="K756" s="6">
        <f t="shared" si="56"/>
        <v>0</v>
      </c>
      <c r="L756" s="6">
        <f t="shared" si="57"/>
        <v>0</v>
      </c>
    </row>
    <row r="757" spans="1:12">
      <c r="A757">
        <f t="shared" si="58"/>
        <v>744</v>
      </c>
      <c r="B757" s="136">
        <f>IF(C$5=Data!D$3,'Step 2 Inflow Hydrograph'!H801,IF(C$5=Data!D$4,'Step 2 Inflow Hydrograph'!I801,IF(C$5=Data!D$5,'Step 2 Inflow Hydrograph'!J801,'Step 2 Inflow Hydrograph'!K801)))</f>
        <v>0</v>
      </c>
      <c r="C757" s="127"/>
      <c r="D757" s="6">
        <f t="shared" si="55"/>
        <v>0</v>
      </c>
      <c r="E757" s="6"/>
      <c r="F757" s="6">
        <f t="shared" si="59"/>
        <v>0</v>
      </c>
      <c r="G757" s="149">
        <f>INDEX('Step 4 Stage Discharge'!E$26:F$126,MATCH(F757,'Step 4 Stage Discharge'!E$26:E$126,1),2)+(INDEX('Step 4 Stage Discharge'!E$26:F$126,MATCH(F757,'Step 4 Stage Discharge'!E$26:E$126,1)+1,2)-INDEX('Step 4 Stage Discharge'!E$26:F$126,MATCH(F757,'Step 4 Stage Discharge'!E$26:E$126,1),2))*(F757-INDEX('Step 4 Stage Discharge'!E$26:F$126,MATCH(F757,'Step 4 Stage Discharge'!E$26:E$126,1),1))/(INDEX('Step 4 Stage Discharge'!E$26:F$126,MATCH(F757,'Step 4 Stage Discharge'!E$26:E$126,1)+1,1)-INDEX('Step 4 Stage Discharge'!E$26:F$126,MATCH(F757,'Step 4 Stage Discharge'!E$26:E$126,1),1))</f>
        <v>0</v>
      </c>
      <c r="H757" s="149"/>
      <c r="I757" s="149">
        <f>INDEX('Step 4 Stage Discharge'!E$26:M$126,MATCH(F757,'Step 4 Stage Discharge'!E$26:E$126,1),9)+(INDEX('Step 4 Stage Discharge'!E$26:M$126,MATCH('Step 5 Routing'!F757,'Step 4 Stage Discharge'!E$26:E$126,1)+1,9)-INDEX('Step 4 Stage Discharge'!E$26:M$126,MATCH('Step 5 Routing'!F757,'Step 4 Stage Discharge'!E$26:E$126,1),9))*('Step 5 Routing'!F757-INDEX('Step 4 Stage Discharge'!E$26:M$126,MATCH('Step 5 Routing'!F757,'Step 4 Stage Discharge'!E$26:E$126,1),1))/(INDEX('Step 4 Stage Discharge'!E$26:M$126,MATCH('Step 5 Routing'!F757,'Step 4 Stage Discharge'!E$26:E$126,1)+1,1)-INDEX('Step 4 Stage Discharge'!E$26:M$126,MATCH('Step 5 Routing'!F757,'Step 4 Stage Discharge'!E$26:E$126,1),1))</f>
        <v>4.3639431710317386E-3</v>
      </c>
      <c r="J757" s="149"/>
      <c r="K757" s="6">
        <f t="shared" si="56"/>
        <v>0</v>
      </c>
      <c r="L757" s="6">
        <f t="shared" si="57"/>
        <v>0</v>
      </c>
    </row>
    <row r="758" spans="1:12">
      <c r="A758">
        <f t="shared" si="58"/>
        <v>745</v>
      </c>
      <c r="B758" s="136">
        <f>IF(C$5=Data!D$3,'Step 2 Inflow Hydrograph'!H802,IF(C$5=Data!D$4,'Step 2 Inflow Hydrograph'!I802,IF(C$5=Data!D$5,'Step 2 Inflow Hydrograph'!J802,'Step 2 Inflow Hydrograph'!K802)))</f>
        <v>0</v>
      </c>
      <c r="C758" s="127"/>
      <c r="D758" s="6">
        <f t="shared" si="55"/>
        <v>0</v>
      </c>
      <c r="E758" s="6"/>
      <c r="F758" s="6">
        <f t="shared" si="59"/>
        <v>0</v>
      </c>
      <c r="G758" s="149">
        <f>INDEX('Step 4 Stage Discharge'!E$26:F$126,MATCH(F758,'Step 4 Stage Discharge'!E$26:E$126,1),2)+(INDEX('Step 4 Stage Discharge'!E$26:F$126,MATCH(F758,'Step 4 Stage Discharge'!E$26:E$126,1)+1,2)-INDEX('Step 4 Stage Discharge'!E$26:F$126,MATCH(F758,'Step 4 Stage Discharge'!E$26:E$126,1),2))*(F758-INDEX('Step 4 Stage Discharge'!E$26:F$126,MATCH(F758,'Step 4 Stage Discharge'!E$26:E$126,1),1))/(INDEX('Step 4 Stage Discharge'!E$26:F$126,MATCH(F758,'Step 4 Stage Discharge'!E$26:E$126,1)+1,1)-INDEX('Step 4 Stage Discharge'!E$26:F$126,MATCH(F758,'Step 4 Stage Discharge'!E$26:E$126,1),1))</f>
        <v>0</v>
      </c>
      <c r="H758" s="149"/>
      <c r="I758" s="149">
        <f>INDEX('Step 4 Stage Discharge'!E$26:M$126,MATCH(F758,'Step 4 Stage Discharge'!E$26:E$126,1),9)+(INDEX('Step 4 Stage Discharge'!E$26:M$126,MATCH('Step 5 Routing'!F758,'Step 4 Stage Discharge'!E$26:E$126,1)+1,9)-INDEX('Step 4 Stage Discharge'!E$26:M$126,MATCH('Step 5 Routing'!F758,'Step 4 Stage Discharge'!E$26:E$126,1),9))*('Step 5 Routing'!F758-INDEX('Step 4 Stage Discharge'!E$26:M$126,MATCH('Step 5 Routing'!F758,'Step 4 Stage Discharge'!E$26:E$126,1),1))/(INDEX('Step 4 Stage Discharge'!E$26:M$126,MATCH('Step 5 Routing'!F758,'Step 4 Stage Discharge'!E$26:E$126,1)+1,1)-INDEX('Step 4 Stage Discharge'!E$26:M$126,MATCH('Step 5 Routing'!F758,'Step 4 Stage Discharge'!E$26:E$126,1),1))</f>
        <v>4.3639431710317386E-3</v>
      </c>
      <c r="J758" s="149"/>
      <c r="K758" s="6">
        <f t="shared" si="56"/>
        <v>0</v>
      </c>
      <c r="L758" s="6">
        <f t="shared" si="57"/>
        <v>0</v>
      </c>
    </row>
    <row r="759" spans="1:12">
      <c r="A759">
        <f t="shared" si="58"/>
        <v>746</v>
      </c>
      <c r="B759" s="136">
        <f>IF(C$5=Data!D$3,'Step 2 Inflow Hydrograph'!H803,IF(C$5=Data!D$4,'Step 2 Inflow Hydrograph'!I803,IF(C$5=Data!D$5,'Step 2 Inflow Hydrograph'!J803,'Step 2 Inflow Hydrograph'!K803)))</f>
        <v>0</v>
      </c>
      <c r="C759" s="127"/>
      <c r="D759" s="6">
        <f t="shared" si="55"/>
        <v>0</v>
      </c>
      <c r="E759" s="6"/>
      <c r="F759" s="6">
        <f t="shared" si="59"/>
        <v>0</v>
      </c>
      <c r="G759" s="149">
        <f>INDEX('Step 4 Stage Discharge'!E$26:F$126,MATCH(F759,'Step 4 Stage Discharge'!E$26:E$126,1),2)+(INDEX('Step 4 Stage Discharge'!E$26:F$126,MATCH(F759,'Step 4 Stage Discharge'!E$26:E$126,1)+1,2)-INDEX('Step 4 Stage Discharge'!E$26:F$126,MATCH(F759,'Step 4 Stage Discharge'!E$26:E$126,1),2))*(F759-INDEX('Step 4 Stage Discharge'!E$26:F$126,MATCH(F759,'Step 4 Stage Discharge'!E$26:E$126,1),1))/(INDEX('Step 4 Stage Discharge'!E$26:F$126,MATCH(F759,'Step 4 Stage Discharge'!E$26:E$126,1)+1,1)-INDEX('Step 4 Stage Discharge'!E$26:F$126,MATCH(F759,'Step 4 Stage Discharge'!E$26:E$126,1),1))</f>
        <v>0</v>
      </c>
      <c r="H759" s="149"/>
      <c r="I759" s="149">
        <f>INDEX('Step 4 Stage Discharge'!E$26:M$126,MATCH(F759,'Step 4 Stage Discharge'!E$26:E$126,1),9)+(INDEX('Step 4 Stage Discharge'!E$26:M$126,MATCH('Step 5 Routing'!F759,'Step 4 Stage Discharge'!E$26:E$126,1)+1,9)-INDEX('Step 4 Stage Discharge'!E$26:M$126,MATCH('Step 5 Routing'!F759,'Step 4 Stage Discharge'!E$26:E$126,1),9))*('Step 5 Routing'!F759-INDEX('Step 4 Stage Discharge'!E$26:M$126,MATCH('Step 5 Routing'!F759,'Step 4 Stage Discharge'!E$26:E$126,1),1))/(INDEX('Step 4 Stage Discharge'!E$26:M$126,MATCH('Step 5 Routing'!F759,'Step 4 Stage Discharge'!E$26:E$126,1)+1,1)-INDEX('Step 4 Stage Discharge'!E$26:M$126,MATCH('Step 5 Routing'!F759,'Step 4 Stage Discharge'!E$26:E$126,1),1))</f>
        <v>4.3639431710317386E-3</v>
      </c>
      <c r="J759" s="149"/>
      <c r="K759" s="6">
        <f t="shared" si="56"/>
        <v>0</v>
      </c>
      <c r="L759" s="6">
        <f t="shared" si="57"/>
        <v>0</v>
      </c>
    </row>
    <row r="760" spans="1:12">
      <c r="A760">
        <f t="shared" si="58"/>
        <v>747</v>
      </c>
      <c r="B760" s="136">
        <f>IF(C$5=Data!D$3,'Step 2 Inflow Hydrograph'!H804,IF(C$5=Data!D$4,'Step 2 Inflow Hydrograph'!I804,IF(C$5=Data!D$5,'Step 2 Inflow Hydrograph'!J804,'Step 2 Inflow Hydrograph'!K804)))</f>
        <v>0</v>
      </c>
      <c r="C760" s="127"/>
      <c r="D760" s="6">
        <f t="shared" si="55"/>
        <v>0</v>
      </c>
      <c r="E760" s="6"/>
      <c r="F760" s="6">
        <f t="shared" si="59"/>
        <v>0</v>
      </c>
      <c r="G760" s="149">
        <f>INDEX('Step 4 Stage Discharge'!E$26:F$126,MATCH(F760,'Step 4 Stage Discharge'!E$26:E$126,1),2)+(INDEX('Step 4 Stage Discharge'!E$26:F$126,MATCH(F760,'Step 4 Stage Discharge'!E$26:E$126,1)+1,2)-INDEX('Step 4 Stage Discharge'!E$26:F$126,MATCH(F760,'Step 4 Stage Discharge'!E$26:E$126,1),2))*(F760-INDEX('Step 4 Stage Discharge'!E$26:F$126,MATCH(F760,'Step 4 Stage Discharge'!E$26:E$126,1),1))/(INDEX('Step 4 Stage Discharge'!E$26:F$126,MATCH(F760,'Step 4 Stage Discharge'!E$26:E$126,1)+1,1)-INDEX('Step 4 Stage Discharge'!E$26:F$126,MATCH(F760,'Step 4 Stage Discharge'!E$26:E$126,1),1))</f>
        <v>0</v>
      </c>
      <c r="H760" s="149"/>
      <c r="I760" s="149">
        <f>INDEX('Step 4 Stage Discharge'!E$26:M$126,MATCH(F760,'Step 4 Stage Discharge'!E$26:E$126,1),9)+(INDEX('Step 4 Stage Discharge'!E$26:M$126,MATCH('Step 5 Routing'!F760,'Step 4 Stage Discharge'!E$26:E$126,1)+1,9)-INDEX('Step 4 Stage Discharge'!E$26:M$126,MATCH('Step 5 Routing'!F760,'Step 4 Stage Discharge'!E$26:E$126,1),9))*('Step 5 Routing'!F760-INDEX('Step 4 Stage Discharge'!E$26:M$126,MATCH('Step 5 Routing'!F760,'Step 4 Stage Discharge'!E$26:E$126,1),1))/(INDEX('Step 4 Stage Discharge'!E$26:M$126,MATCH('Step 5 Routing'!F760,'Step 4 Stage Discharge'!E$26:E$126,1)+1,1)-INDEX('Step 4 Stage Discharge'!E$26:M$126,MATCH('Step 5 Routing'!F760,'Step 4 Stage Discharge'!E$26:E$126,1),1))</f>
        <v>4.3639431710317386E-3</v>
      </c>
      <c r="J760" s="149"/>
      <c r="K760" s="6">
        <f t="shared" si="56"/>
        <v>0</v>
      </c>
      <c r="L760" s="6">
        <f t="shared" si="57"/>
        <v>0</v>
      </c>
    </row>
    <row r="761" spans="1:12">
      <c r="A761">
        <f t="shared" si="58"/>
        <v>748</v>
      </c>
      <c r="B761" s="136">
        <f>IF(C$5=Data!D$3,'Step 2 Inflow Hydrograph'!H805,IF(C$5=Data!D$4,'Step 2 Inflow Hydrograph'!I805,IF(C$5=Data!D$5,'Step 2 Inflow Hydrograph'!J805,'Step 2 Inflow Hydrograph'!K805)))</f>
        <v>0</v>
      </c>
      <c r="C761" s="127"/>
      <c r="D761" s="6">
        <f t="shared" si="55"/>
        <v>0</v>
      </c>
      <c r="E761" s="6"/>
      <c r="F761" s="6">
        <f t="shared" si="59"/>
        <v>0</v>
      </c>
      <c r="G761" s="149">
        <f>INDEX('Step 4 Stage Discharge'!E$26:F$126,MATCH(F761,'Step 4 Stage Discharge'!E$26:E$126,1),2)+(INDEX('Step 4 Stage Discharge'!E$26:F$126,MATCH(F761,'Step 4 Stage Discharge'!E$26:E$126,1)+1,2)-INDEX('Step 4 Stage Discharge'!E$26:F$126,MATCH(F761,'Step 4 Stage Discharge'!E$26:E$126,1),2))*(F761-INDEX('Step 4 Stage Discharge'!E$26:F$126,MATCH(F761,'Step 4 Stage Discharge'!E$26:E$126,1),1))/(INDEX('Step 4 Stage Discharge'!E$26:F$126,MATCH(F761,'Step 4 Stage Discharge'!E$26:E$126,1)+1,1)-INDEX('Step 4 Stage Discharge'!E$26:F$126,MATCH(F761,'Step 4 Stage Discharge'!E$26:E$126,1),1))</f>
        <v>0</v>
      </c>
      <c r="H761" s="149"/>
      <c r="I761" s="149">
        <f>INDEX('Step 4 Stage Discharge'!E$26:M$126,MATCH(F761,'Step 4 Stage Discharge'!E$26:E$126,1),9)+(INDEX('Step 4 Stage Discharge'!E$26:M$126,MATCH('Step 5 Routing'!F761,'Step 4 Stage Discharge'!E$26:E$126,1)+1,9)-INDEX('Step 4 Stage Discharge'!E$26:M$126,MATCH('Step 5 Routing'!F761,'Step 4 Stage Discharge'!E$26:E$126,1),9))*('Step 5 Routing'!F761-INDEX('Step 4 Stage Discharge'!E$26:M$126,MATCH('Step 5 Routing'!F761,'Step 4 Stage Discharge'!E$26:E$126,1),1))/(INDEX('Step 4 Stage Discharge'!E$26:M$126,MATCH('Step 5 Routing'!F761,'Step 4 Stage Discharge'!E$26:E$126,1)+1,1)-INDEX('Step 4 Stage Discharge'!E$26:M$126,MATCH('Step 5 Routing'!F761,'Step 4 Stage Discharge'!E$26:E$126,1),1))</f>
        <v>4.3639431710317386E-3</v>
      </c>
      <c r="J761" s="149"/>
      <c r="K761" s="6">
        <f t="shared" si="56"/>
        <v>0</v>
      </c>
      <c r="L761" s="6">
        <f t="shared" si="57"/>
        <v>0</v>
      </c>
    </row>
    <row r="762" spans="1:12">
      <c r="A762">
        <f t="shared" si="58"/>
        <v>749</v>
      </c>
      <c r="B762" s="136">
        <f>IF(C$5=Data!D$3,'Step 2 Inflow Hydrograph'!H806,IF(C$5=Data!D$4,'Step 2 Inflow Hydrograph'!I806,IF(C$5=Data!D$5,'Step 2 Inflow Hydrograph'!J806,'Step 2 Inflow Hydrograph'!K806)))</f>
        <v>0</v>
      </c>
      <c r="C762" s="127"/>
      <c r="D762" s="6">
        <f t="shared" si="55"/>
        <v>0</v>
      </c>
      <c r="E762" s="6"/>
      <c r="F762" s="6">
        <f t="shared" si="59"/>
        <v>0</v>
      </c>
      <c r="G762" s="149">
        <f>INDEX('Step 4 Stage Discharge'!E$26:F$126,MATCH(F762,'Step 4 Stage Discharge'!E$26:E$126,1),2)+(INDEX('Step 4 Stage Discharge'!E$26:F$126,MATCH(F762,'Step 4 Stage Discharge'!E$26:E$126,1)+1,2)-INDEX('Step 4 Stage Discharge'!E$26:F$126,MATCH(F762,'Step 4 Stage Discharge'!E$26:E$126,1),2))*(F762-INDEX('Step 4 Stage Discharge'!E$26:F$126,MATCH(F762,'Step 4 Stage Discharge'!E$26:E$126,1),1))/(INDEX('Step 4 Stage Discharge'!E$26:F$126,MATCH(F762,'Step 4 Stage Discharge'!E$26:E$126,1)+1,1)-INDEX('Step 4 Stage Discharge'!E$26:F$126,MATCH(F762,'Step 4 Stage Discharge'!E$26:E$126,1),1))</f>
        <v>0</v>
      </c>
      <c r="H762" s="149"/>
      <c r="I762" s="149">
        <f>INDEX('Step 4 Stage Discharge'!E$26:M$126,MATCH(F762,'Step 4 Stage Discharge'!E$26:E$126,1),9)+(INDEX('Step 4 Stage Discharge'!E$26:M$126,MATCH('Step 5 Routing'!F762,'Step 4 Stage Discharge'!E$26:E$126,1)+1,9)-INDEX('Step 4 Stage Discharge'!E$26:M$126,MATCH('Step 5 Routing'!F762,'Step 4 Stage Discharge'!E$26:E$126,1),9))*('Step 5 Routing'!F762-INDEX('Step 4 Stage Discharge'!E$26:M$126,MATCH('Step 5 Routing'!F762,'Step 4 Stage Discharge'!E$26:E$126,1),1))/(INDEX('Step 4 Stage Discharge'!E$26:M$126,MATCH('Step 5 Routing'!F762,'Step 4 Stage Discharge'!E$26:E$126,1)+1,1)-INDEX('Step 4 Stage Discharge'!E$26:M$126,MATCH('Step 5 Routing'!F762,'Step 4 Stage Discharge'!E$26:E$126,1),1))</f>
        <v>4.3639431710317386E-3</v>
      </c>
      <c r="J762" s="149"/>
      <c r="K762" s="6">
        <f t="shared" si="56"/>
        <v>0</v>
      </c>
      <c r="L762" s="6">
        <f t="shared" si="57"/>
        <v>0</v>
      </c>
    </row>
    <row r="763" spans="1:12">
      <c r="A763">
        <f t="shared" si="58"/>
        <v>750</v>
      </c>
      <c r="B763" s="136">
        <f>IF(C$5=Data!D$3,'Step 2 Inflow Hydrograph'!H807,IF(C$5=Data!D$4,'Step 2 Inflow Hydrograph'!I807,IF(C$5=Data!D$5,'Step 2 Inflow Hydrograph'!J807,'Step 2 Inflow Hydrograph'!K807)))</f>
        <v>0</v>
      </c>
      <c r="C763" s="127"/>
      <c r="D763" s="6">
        <f t="shared" si="55"/>
        <v>0</v>
      </c>
      <c r="E763" s="6"/>
      <c r="F763" s="6">
        <f t="shared" si="59"/>
        <v>0</v>
      </c>
      <c r="G763" s="149">
        <f>INDEX('Step 4 Stage Discharge'!E$26:F$126,MATCH(F763,'Step 4 Stage Discharge'!E$26:E$126,1),2)+(INDEX('Step 4 Stage Discharge'!E$26:F$126,MATCH(F763,'Step 4 Stage Discharge'!E$26:E$126,1)+1,2)-INDEX('Step 4 Stage Discharge'!E$26:F$126,MATCH(F763,'Step 4 Stage Discharge'!E$26:E$126,1),2))*(F763-INDEX('Step 4 Stage Discharge'!E$26:F$126,MATCH(F763,'Step 4 Stage Discharge'!E$26:E$126,1),1))/(INDEX('Step 4 Stage Discharge'!E$26:F$126,MATCH(F763,'Step 4 Stage Discharge'!E$26:E$126,1)+1,1)-INDEX('Step 4 Stage Discharge'!E$26:F$126,MATCH(F763,'Step 4 Stage Discharge'!E$26:E$126,1),1))</f>
        <v>0</v>
      </c>
      <c r="H763" s="149"/>
      <c r="I763" s="149">
        <f>INDEX('Step 4 Stage Discharge'!E$26:M$126,MATCH(F763,'Step 4 Stage Discharge'!E$26:E$126,1),9)+(INDEX('Step 4 Stage Discharge'!E$26:M$126,MATCH('Step 5 Routing'!F763,'Step 4 Stage Discharge'!E$26:E$126,1)+1,9)-INDEX('Step 4 Stage Discharge'!E$26:M$126,MATCH('Step 5 Routing'!F763,'Step 4 Stage Discharge'!E$26:E$126,1),9))*('Step 5 Routing'!F763-INDEX('Step 4 Stage Discharge'!E$26:M$126,MATCH('Step 5 Routing'!F763,'Step 4 Stage Discharge'!E$26:E$126,1),1))/(INDEX('Step 4 Stage Discharge'!E$26:M$126,MATCH('Step 5 Routing'!F763,'Step 4 Stage Discharge'!E$26:E$126,1)+1,1)-INDEX('Step 4 Stage Discharge'!E$26:M$126,MATCH('Step 5 Routing'!F763,'Step 4 Stage Discharge'!E$26:E$126,1),1))</f>
        <v>4.3639431710317386E-3</v>
      </c>
      <c r="J763" s="149"/>
      <c r="K763" s="6">
        <f t="shared" si="56"/>
        <v>0</v>
      </c>
      <c r="L763" s="6">
        <f t="shared" si="57"/>
        <v>0</v>
      </c>
    </row>
    <row r="764" spans="1:12">
      <c r="A764">
        <f t="shared" si="58"/>
        <v>751</v>
      </c>
      <c r="B764" s="136">
        <f>IF(C$5=Data!D$3,'Step 2 Inflow Hydrograph'!H808,IF(C$5=Data!D$4,'Step 2 Inflow Hydrograph'!I808,IF(C$5=Data!D$5,'Step 2 Inflow Hydrograph'!J808,'Step 2 Inflow Hydrograph'!K808)))</f>
        <v>0</v>
      </c>
      <c r="C764" s="127"/>
      <c r="D764" s="6">
        <f t="shared" si="55"/>
        <v>0</v>
      </c>
      <c r="E764" s="6"/>
      <c r="F764" s="6">
        <f t="shared" si="59"/>
        <v>0</v>
      </c>
      <c r="G764" s="149">
        <f>INDEX('Step 4 Stage Discharge'!E$26:F$126,MATCH(F764,'Step 4 Stage Discharge'!E$26:E$126,1),2)+(INDEX('Step 4 Stage Discharge'!E$26:F$126,MATCH(F764,'Step 4 Stage Discharge'!E$26:E$126,1)+1,2)-INDEX('Step 4 Stage Discharge'!E$26:F$126,MATCH(F764,'Step 4 Stage Discharge'!E$26:E$126,1),2))*(F764-INDEX('Step 4 Stage Discharge'!E$26:F$126,MATCH(F764,'Step 4 Stage Discharge'!E$26:E$126,1),1))/(INDEX('Step 4 Stage Discharge'!E$26:F$126,MATCH(F764,'Step 4 Stage Discharge'!E$26:E$126,1)+1,1)-INDEX('Step 4 Stage Discharge'!E$26:F$126,MATCH(F764,'Step 4 Stage Discharge'!E$26:E$126,1),1))</f>
        <v>0</v>
      </c>
      <c r="H764" s="149"/>
      <c r="I764" s="149">
        <f>INDEX('Step 4 Stage Discharge'!E$26:M$126,MATCH(F764,'Step 4 Stage Discharge'!E$26:E$126,1),9)+(INDEX('Step 4 Stage Discharge'!E$26:M$126,MATCH('Step 5 Routing'!F764,'Step 4 Stage Discharge'!E$26:E$126,1)+1,9)-INDEX('Step 4 Stage Discharge'!E$26:M$126,MATCH('Step 5 Routing'!F764,'Step 4 Stage Discharge'!E$26:E$126,1),9))*('Step 5 Routing'!F764-INDEX('Step 4 Stage Discharge'!E$26:M$126,MATCH('Step 5 Routing'!F764,'Step 4 Stage Discharge'!E$26:E$126,1),1))/(INDEX('Step 4 Stage Discharge'!E$26:M$126,MATCH('Step 5 Routing'!F764,'Step 4 Stage Discharge'!E$26:E$126,1)+1,1)-INDEX('Step 4 Stage Discharge'!E$26:M$126,MATCH('Step 5 Routing'!F764,'Step 4 Stage Discharge'!E$26:E$126,1),1))</f>
        <v>4.3639431710317386E-3</v>
      </c>
      <c r="J764" s="149"/>
      <c r="K764" s="6">
        <f t="shared" si="56"/>
        <v>0</v>
      </c>
      <c r="L764" s="6">
        <f t="shared" si="57"/>
        <v>0</v>
      </c>
    </row>
    <row r="765" spans="1:12">
      <c r="A765">
        <f t="shared" si="58"/>
        <v>752</v>
      </c>
      <c r="B765" s="136">
        <f>IF(C$5=Data!D$3,'Step 2 Inflow Hydrograph'!H809,IF(C$5=Data!D$4,'Step 2 Inflow Hydrograph'!I809,IF(C$5=Data!D$5,'Step 2 Inflow Hydrograph'!J809,'Step 2 Inflow Hydrograph'!K809)))</f>
        <v>0</v>
      </c>
      <c r="C765" s="127"/>
      <c r="D765" s="6">
        <f t="shared" si="55"/>
        <v>0</v>
      </c>
      <c r="E765" s="6"/>
      <c r="F765" s="6">
        <f t="shared" si="59"/>
        <v>0</v>
      </c>
      <c r="G765" s="149">
        <f>INDEX('Step 4 Stage Discharge'!E$26:F$126,MATCH(F765,'Step 4 Stage Discharge'!E$26:E$126,1),2)+(INDEX('Step 4 Stage Discharge'!E$26:F$126,MATCH(F765,'Step 4 Stage Discharge'!E$26:E$126,1)+1,2)-INDEX('Step 4 Stage Discharge'!E$26:F$126,MATCH(F765,'Step 4 Stage Discharge'!E$26:E$126,1),2))*(F765-INDEX('Step 4 Stage Discharge'!E$26:F$126,MATCH(F765,'Step 4 Stage Discharge'!E$26:E$126,1),1))/(INDEX('Step 4 Stage Discharge'!E$26:F$126,MATCH(F765,'Step 4 Stage Discharge'!E$26:E$126,1)+1,1)-INDEX('Step 4 Stage Discharge'!E$26:F$126,MATCH(F765,'Step 4 Stage Discharge'!E$26:E$126,1),1))</f>
        <v>0</v>
      </c>
      <c r="H765" s="149"/>
      <c r="I765" s="149">
        <f>INDEX('Step 4 Stage Discharge'!E$26:M$126,MATCH(F765,'Step 4 Stage Discharge'!E$26:E$126,1),9)+(INDEX('Step 4 Stage Discharge'!E$26:M$126,MATCH('Step 5 Routing'!F765,'Step 4 Stage Discharge'!E$26:E$126,1)+1,9)-INDEX('Step 4 Stage Discharge'!E$26:M$126,MATCH('Step 5 Routing'!F765,'Step 4 Stage Discharge'!E$26:E$126,1),9))*('Step 5 Routing'!F765-INDEX('Step 4 Stage Discharge'!E$26:M$126,MATCH('Step 5 Routing'!F765,'Step 4 Stage Discharge'!E$26:E$126,1),1))/(INDEX('Step 4 Stage Discharge'!E$26:M$126,MATCH('Step 5 Routing'!F765,'Step 4 Stage Discharge'!E$26:E$126,1)+1,1)-INDEX('Step 4 Stage Discharge'!E$26:M$126,MATCH('Step 5 Routing'!F765,'Step 4 Stage Discharge'!E$26:E$126,1),1))</f>
        <v>4.3639431710317386E-3</v>
      </c>
      <c r="J765" s="149"/>
      <c r="K765" s="6">
        <f t="shared" si="56"/>
        <v>0</v>
      </c>
      <c r="L765" s="6">
        <f t="shared" si="57"/>
        <v>0</v>
      </c>
    </row>
    <row r="766" spans="1:12">
      <c r="A766">
        <f t="shared" si="58"/>
        <v>753</v>
      </c>
      <c r="B766" s="136">
        <f>IF(C$5=Data!D$3,'Step 2 Inflow Hydrograph'!H810,IF(C$5=Data!D$4,'Step 2 Inflow Hydrograph'!I810,IF(C$5=Data!D$5,'Step 2 Inflow Hydrograph'!J810,'Step 2 Inflow Hydrograph'!K810)))</f>
        <v>0</v>
      </c>
      <c r="C766" s="127"/>
      <c r="D766" s="6">
        <f t="shared" si="55"/>
        <v>0</v>
      </c>
      <c r="E766" s="6"/>
      <c r="F766" s="6">
        <f t="shared" si="59"/>
        <v>0</v>
      </c>
      <c r="G766" s="149">
        <f>INDEX('Step 4 Stage Discharge'!E$26:F$126,MATCH(F766,'Step 4 Stage Discharge'!E$26:E$126,1),2)+(INDEX('Step 4 Stage Discharge'!E$26:F$126,MATCH(F766,'Step 4 Stage Discharge'!E$26:E$126,1)+1,2)-INDEX('Step 4 Stage Discharge'!E$26:F$126,MATCH(F766,'Step 4 Stage Discharge'!E$26:E$126,1),2))*(F766-INDEX('Step 4 Stage Discharge'!E$26:F$126,MATCH(F766,'Step 4 Stage Discharge'!E$26:E$126,1),1))/(INDEX('Step 4 Stage Discharge'!E$26:F$126,MATCH(F766,'Step 4 Stage Discharge'!E$26:E$126,1)+1,1)-INDEX('Step 4 Stage Discharge'!E$26:F$126,MATCH(F766,'Step 4 Stage Discharge'!E$26:E$126,1),1))</f>
        <v>0</v>
      </c>
      <c r="H766" s="149"/>
      <c r="I766" s="149">
        <f>INDEX('Step 4 Stage Discharge'!E$26:M$126,MATCH(F766,'Step 4 Stage Discharge'!E$26:E$126,1),9)+(INDEX('Step 4 Stage Discharge'!E$26:M$126,MATCH('Step 5 Routing'!F766,'Step 4 Stage Discharge'!E$26:E$126,1)+1,9)-INDEX('Step 4 Stage Discharge'!E$26:M$126,MATCH('Step 5 Routing'!F766,'Step 4 Stage Discharge'!E$26:E$126,1),9))*('Step 5 Routing'!F766-INDEX('Step 4 Stage Discharge'!E$26:M$126,MATCH('Step 5 Routing'!F766,'Step 4 Stage Discharge'!E$26:E$126,1),1))/(INDEX('Step 4 Stage Discharge'!E$26:M$126,MATCH('Step 5 Routing'!F766,'Step 4 Stage Discharge'!E$26:E$126,1)+1,1)-INDEX('Step 4 Stage Discharge'!E$26:M$126,MATCH('Step 5 Routing'!F766,'Step 4 Stage Discharge'!E$26:E$126,1),1))</f>
        <v>4.3639431710317386E-3</v>
      </c>
      <c r="J766" s="149"/>
      <c r="K766" s="6">
        <f t="shared" si="56"/>
        <v>0</v>
      </c>
      <c r="L766" s="6">
        <f t="shared" si="57"/>
        <v>0</v>
      </c>
    </row>
    <row r="767" spans="1:12">
      <c r="A767">
        <f t="shared" si="58"/>
        <v>754</v>
      </c>
      <c r="B767" s="136">
        <f>IF(C$5=Data!D$3,'Step 2 Inflow Hydrograph'!H811,IF(C$5=Data!D$4,'Step 2 Inflow Hydrograph'!I811,IF(C$5=Data!D$5,'Step 2 Inflow Hydrograph'!J811,'Step 2 Inflow Hydrograph'!K811)))</f>
        <v>0</v>
      </c>
      <c r="C767" s="127"/>
      <c r="D767" s="6">
        <f t="shared" si="55"/>
        <v>0</v>
      </c>
      <c r="E767" s="6"/>
      <c r="F767" s="6">
        <f t="shared" si="59"/>
        <v>0</v>
      </c>
      <c r="G767" s="149">
        <f>INDEX('Step 4 Stage Discharge'!E$26:F$126,MATCH(F767,'Step 4 Stage Discharge'!E$26:E$126,1),2)+(INDEX('Step 4 Stage Discharge'!E$26:F$126,MATCH(F767,'Step 4 Stage Discharge'!E$26:E$126,1)+1,2)-INDEX('Step 4 Stage Discharge'!E$26:F$126,MATCH(F767,'Step 4 Stage Discharge'!E$26:E$126,1),2))*(F767-INDEX('Step 4 Stage Discharge'!E$26:F$126,MATCH(F767,'Step 4 Stage Discharge'!E$26:E$126,1),1))/(INDEX('Step 4 Stage Discharge'!E$26:F$126,MATCH(F767,'Step 4 Stage Discharge'!E$26:E$126,1)+1,1)-INDEX('Step 4 Stage Discharge'!E$26:F$126,MATCH(F767,'Step 4 Stage Discharge'!E$26:E$126,1),1))</f>
        <v>0</v>
      </c>
      <c r="H767" s="149"/>
      <c r="I767" s="149">
        <f>INDEX('Step 4 Stage Discharge'!E$26:M$126,MATCH(F767,'Step 4 Stage Discharge'!E$26:E$126,1),9)+(INDEX('Step 4 Stage Discharge'!E$26:M$126,MATCH('Step 5 Routing'!F767,'Step 4 Stage Discharge'!E$26:E$126,1)+1,9)-INDEX('Step 4 Stage Discharge'!E$26:M$126,MATCH('Step 5 Routing'!F767,'Step 4 Stage Discharge'!E$26:E$126,1),9))*('Step 5 Routing'!F767-INDEX('Step 4 Stage Discharge'!E$26:M$126,MATCH('Step 5 Routing'!F767,'Step 4 Stage Discharge'!E$26:E$126,1),1))/(INDEX('Step 4 Stage Discharge'!E$26:M$126,MATCH('Step 5 Routing'!F767,'Step 4 Stage Discharge'!E$26:E$126,1)+1,1)-INDEX('Step 4 Stage Discharge'!E$26:M$126,MATCH('Step 5 Routing'!F767,'Step 4 Stage Discharge'!E$26:E$126,1),1))</f>
        <v>4.3639431710317386E-3</v>
      </c>
      <c r="J767" s="149"/>
      <c r="K767" s="6">
        <f t="shared" si="56"/>
        <v>0</v>
      </c>
      <c r="L767" s="6">
        <f t="shared" si="57"/>
        <v>0</v>
      </c>
    </row>
    <row r="768" spans="1:12">
      <c r="A768">
        <f t="shared" si="58"/>
        <v>755</v>
      </c>
      <c r="B768" s="136">
        <f>IF(C$5=Data!D$3,'Step 2 Inflow Hydrograph'!H812,IF(C$5=Data!D$4,'Step 2 Inflow Hydrograph'!I812,IF(C$5=Data!D$5,'Step 2 Inflow Hydrograph'!J812,'Step 2 Inflow Hydrograph'!K812)))</f>
        <v>0</v>
      </c>
      <c r="C768" s="127"/>
      <c r="D768" s="6">
        <f t="shared" si="55"/>
        <v>0</v>
      </c>
      <c r="E768" s="6"/>
      <c r="F768" s="6">
        <f t="shared" si="59"/>
        <v>0</v>
      </c>
      <c r="G768" s="149">
        <f>INDEX('Step 4 Stage Discharge'!E$26:F$126,MATCH(F768,'Step 4 Stage Discharge'!E$26:E$126,1),2)+(INDEX('Step 4 Stage Discharge'!E$26:F$126,MATCH(F768,'Step 4 Stage Discharge'!E$26:E$126,1)+1,2)-INDEX('Step 4 Stage Discharge'!E$26:F$126,MATCH(F768,'Step 4 Stage Discharge'!E$26:E$126,1),2))*(F768-INDEX('Step 4 Stage Discharge'!E$26:F$126,MATCH(F768,'Step 4 Stage Discharge'!E$26:E$126,1),1))/(INDEX('Step 4 Stage Discharge'!E$26:F$126,MATCH(F768,'Step 4 Stage Discharge'!E$26:E$126,1)+1,1)-INDEX('Step 4 Stage Discharge'!E$26:F$126,MATCH(F768,'Step 4 Stage Discharge'!E$26:E$126,1),1))</f>
        <v>0</v>
      </c>
      <c r="H768" s="149"/>
      <c r="I768" s="149">
        <f>INDEX('Step 4 Stage Discharge'!E$26:M$126,MATCH(F768,'Step 4 Stage Discharge'!E$26:E$126,1),9)+(INDEX('Step 4 Stage Discharge'!E$26:M$126,MATCH('Step 5 Routing'!F768,'Step 4 Stage Discharge'!E$26:E$126,1)+1,9)-INDEX('Step 4 Stage Discharge'!E$26:M$126,MATCH('Step 5 Routing'!F768,'Step 4 Stage Discharge'!E$26:E$126,1),9))*('Step 5 Routing'!F768-INDEX('Step 4 Stage Discharge'!E$26:M$126,MATCH('Step 5 Routing'!F768,'Step 4 Stage Discharge'!E$26:E$126,1),1))/(INDEX('Step 4 Stage Discharge'!E$26:M$126,MATCH('Step 5 Routing'!F768,'Step 4 Stage Discharge'!E$26:E$126,1)+1,1)-INDEX('Step 4 Stage Discharge'!E$26:M$126,MATCH('Step 5 Routing'!F768,'Step 4 Stage Discharge'!E$26:E$126,1),1))</f>
        <v>4.3639431710317386E-3</v>
      </c>
      <c r="J768" s="149"/>
      <c r="K768" s="6">
        <f t="shared" si="56"/>
        <v>0</v>
      </c>
      <c r="L768" s="6">
        <f t="shared" si="57"/>
        <v>0</v>
      </c>
    </row>
    <row r="769" spans="1:12">
      <c r="A769">
        <f t="shared" si="58"/>
        <v>756</v>
      </c>
      <c r="B769" s="136">
        <f>IF(C$5=Data!D$3,'Step 2 Inflow Hydrograph'!H813,IF(C$5=Data!D$4,'Step 2 Inflow Hydrograph'!I813,IF(C$5=Data!D$5,'Step 2 Inflow Hydrograph'!J813,'Step 2 Inflow Hydrograph'!K813)))</f>
        <v>0</v>
      </c>
      <c r="C769" s="127"/>
      <c r="D769" s="6">
        <f t="shared" si="55"/>
        <v>0</v>
      </c>
      <c r="E769" s="6"/>
      <c r="F769" s="6">
        <f t="shared" si="59"/>
        <v>0</v>
      </c>
      <c r="G769" s="149">
        <f>INDEX('Step 4 Stage Discharge'!E$26:F$126,MATCH(F769,'Step 4 Stage Discharge'!E$26:E$126,1),2)+(INDEX('Step 4 Stage Discharge'!E$26:F$126,MATCH(F769,'Step 4 Stage Discharge'!E$26:E$126,1)+1,2)-INDEX('Step 4 Stage Discharge'!E$26:F$126,MATCH(F769,'Step 4 Stage Discharge'!E$26:E$126,1),2))*(F769-INDEX('Step 4 Stage Discharge'!E$26:F$126,MATCH(F769,'Step 4 Stage Discharge'!E$26:E$126,1),1))/(INDEX('Step 4 Stage Discharge'!E$26:F$126,MATCH(F769,'Step 4 Stage Discharge'!E$26:E$126,1)+1,1)-INDEX('Step 4 Stage Discharge'!E$26:F$126,MATCH(F769,'Step 4 Stage Discharge'!E$26:E$126,1),1))</f>
        <v>0</v>
      </c>
      <c r="H769" s="149"/>
      <c r="I769" s="149">
        <f>INDEX('Step 4 Stage Discharge'!E$26:M$126,MATCH(F769,'Step 4 Stage Discharge'!E$26:E$126,1),9)+(INDEX('Step 4 Stage Discharge'!E$26:M$126,MATCH('Step 5 Routing'!F769,'Step 4 Stage Discharge'!E$26:E$126,1)+1,9)-INDEX('Step 4 Stage Discharge'!E$26:M$126,MATCH('Step 5 Routing'!F769,'Step 4 Stage Discharge'!E$26:E$126,1),9))*('Step 5 Routing'!F769-INDEX('Step 4 Stage Discharge'!E$26:M$126,MATCH('Step 5 Routing'!F769,'Step 4 Stage Discharge'!E$26:E$126,1),1))/(INDEX('Step 4 Stage Discharge'!E$26:M$126,MATCH('Step 5 Routing'!F769,'Step 4 Stage Discharge'!E$26:E$126,1)+1,1)-INDEX('Step 4 Stage Discharge'!E$26:M$126,MATCH('Step 5 Routing'!F769,'Step 4 Stage Discharge'!E$26:E$126,1),1))</f>
        <v>4.3639431710317386E-3</v>
      </c>
      <c r="J769" s="149"/>
      <c r="K769" s="6">
        <f t="shared" si="56"/>
        <v>0</v>
      </c>
      <c r="L769" s="6">
        <f t="shared" si="57"/>
        <v>0</v>
      </c>
    </row>
    <row r="770" spans="1:12">
      <c r="A770">
        <f t="shared" si="58"/>
        <v>757</v>
      </c>
      <c r="B770" s="136">
        <f>IF(C$5=Data!D$3,'Step 2 Inflow Hydrograph'!H814,IF(C$5=Data!D$4,'Step 2 Inflow Hydrograph'!I814,IF(C$5=Data!D$5,'Step 2 Inflow Hydrograph'!J814,'Step 2 Inflow Hydrograph'!K814)))</f>
        <v>0</v>
      </c>
      <c r="C770" s="127"/>
      <c r="D770" s="6">
        <f t="shared" si="55"/>
        <v>0</v>
      </c>
      <c r="E770" s="6"/>
      <c r="F770" s="6">
        <f t="shared" si="59"/>
        <v>0</v>
      </c>
      <c r="G770" s="149">
        <f>INDEX('Step 4 Stage Discharge'!E$26:F$126,MATCH(F770,'Step 4 Stage Discharge'!E$26:E$126,1),2)+(INDEX('Step 4 Stage Discharge'!E$26:F$126,MATCH(F770,'Step 4 Stage Discharge'!E$26:E$126,1)+1,2)-INDEX('Step 4 Stage Discharge'!E$26:F$126,MATCH(F770,'Step 4 Stage Discharge'!E$26:E$126,1),2))*(F770-INDEX('Step 4 Stage Discharge'!E$26:F$126,MATCH(F770,'Step 4 Stage Discharge'!E$26:E$126,1),1))/(INDEX('Step 4 Stage Discharge'!E$26:F$126,MATCH(F770,'Step 4 Stage Discharge'!E$26:E$126,1)+1,1)-INDEX('Step 4 Stage Discharge'!E$26:F$126,MATCH(F770,'Step 4 Stage Discharge'!E$26:E$126,1),1))</f>
        <v>0</v>
      </c>
      <c r="H770" s="149"/>
      <c r="I770" s="149">
        <f>INDEX('Step 4 Stage Discharge'!E$26:M$126,MATCH(F770,'Step 4 Stage Discharge'!E$26:E$126,1),9)+(INDEX('Step 4 Stage Discharge'!E$26:M$126,MATCH('Step 5 Routing'!F770,'Step 4 Stage Discharge'!E$26:E$126,1)+1,9)-INDEX('Step 4 Stage Discharge'!E$26:M$126,MATCH('Step 5 Routing'!F770,'Step 4 Stage Discharge'!E$26:E$126,1),9))*('Step 5 Routing'!F770-INDEX('Step 4 Stage Discharge'!E$26:M$126,MATCH('Step 5 Routing'!F770,'Step 4 Stage Discharge'!E$26:E$126,1),1))/(INDEX('Step 4 Stage Discharge'!E$26:M$126,MATCH('Step 5 Routing'!F770,'Step 4 Stage Discharge'!E$26:E$126,1)+1,1)-INDEX('Step 4 Stage Discharge'!E$26:M$126,MATCH('Step 5 Routing'!F770,'Step 4 Stage Discharge'!E$26:E$126,1),1))</f>
        <v>4.3639431710317386E-3</v>
      </c>
      <c r="J770" s="149"/>
      <c r="K770" s="6">
        <f t="shared" si="56"/>
        <v>0</v>
      </c>
      <c r="L770" s="6">
        <f t="shared" si="57"/>
        <v>0</v>
      </c>
    </row>
    <row r="771" spans="1:12">
      <c r="A771">
        <f t="shared" si="58"/>
        <v>758</v>
      </c>
      <c r="B771" s="136">
        <f>IF(C$5=Data!D$3,'Step 2 Inflow Hydrograph'!H815,IF(C$5=Data!D$4,'Step 2 Inflow Hydrograph'!I815,IF(C$5=Data!D$5,'Step 2 Inflow Hydrograph'!J815,'Step 2 Inflow Hydrograph'!K815)))</f>
        <v>0</v>
      </c>
      <c r="C771" s="127"/>
      <c r="D771" s="6">
        <f t="shared" si="55"/>
        <v>0</v>
      </c>
      <c r="E771" s="6"/>
      <c r="F771" s="6">
        <f t="shared" si="59"/>
        <v>0</v>
      </c>
      <c r="G771" s="149">
        <f>INDEX('Step 4 Stage Discharge'!E$26:F$126,MATCH(F771,'Step 4 Stage Discharge'!E$26:E$126,1),2)+(INDEX('Step 4 Stage Discharge'!E$26:F$126,MATCH(F771,'Step 4 Stage Discharge'!E$26:E$126,1)+1,2)-INDEX('Step 4 Stage Discharge'!E$26:F$126,MATCH(F771,'Step 4 Stage Discharge'!E$26:E$126,1),2))*(F771-INDEX('Step 4 Stage Discharge'!E$26:F$126,MATCH(F771,'Step 4 Stage Discharge'!E$26:E$126,1),1))/(INDEX('Step 4 Stage Discharge'!E$26:F$126,MATCH(F771,'Step 4 Stage Discharge'!E$26:E$126,1)+1,1)-INDEX('Step 4 Stage Discharge'!E$26:F$126,MATCH(F771,'Step 4 Stage Discharge'!E$26:E$126,1),1))</f>
        <v>0</v>
      </c>
      <c r="H771" s="149"/>
      <c r="I771" s="149">
        <f>INDEX('Step 4 Stage Discharge'!E$26:M$126,MATCH(F771,'Step 4 Stage Discharge'!E$26:E$126,1),9)+(INDEX('Step 4 Stage Discharge'!E$26:M$126,MATCH('Step 5 Routing'!F771,'Step 4 Stage Discharge'!E$26:E$126,1)+1,9)-INDEX('Step 4 Stage Discharge'!E$26:M$126,MATCH('Step 5 Routing'!F771,'Step 4 Stage Discharge'!E$26:E$126,1),9))*('Step 5 Routing'!F771-INDEX('Step 4 Stage Discharge'!E$26:M$126,MATCH('Step 5 Routing'!F771,'Step 4 Stage Discharge'!E$26:E$126,1),1))/(INDEX('Step 4 Stage Discharge'!E$26:M$126,MATCH('Step 5 Routing'!F771,'Step 4 Stage Discharge'!E$26:E$126,1)+1,1)-INDEX('Step 4 Stage Discharge'!E$26:M$126,MATCH('Step 5 Routing'!F771,'Step 4 Stage Discharge'!E$26:E$126,1),1))</f>
        <v>4.3639431710317386E-3</v>
      </c>
      <c r="J771" s="149"/>
      <c r="K771" s="6">
        <f t="shared" si="56"/>
        <v>0</v>
      </c>
      <c r="L771" s="6">
        <f t="shared" si="57"/>
        <v>0</v>
      </c>
    </row>
    <row r="772" spans="1:12">
      <c r="A772">
        <f t="shared" si="58"/>
        <v>759</v>
      </c>
      <c r="B772" s="136">
        <f>IF(C$5=Data!D$3,'Step 2 Inflow Hydrograph'!H816,IF(C$5=Data!D$4,'Step 2 Inflow Hydrograph'!I816,IF(C$5=Data!D$5,'Step 2 Inflow Hydrograph'!J816,'Step 2 Inflow Hydrograph'!K816)))</f>
        <v>0</v>
      </c>
      <c r="C772" s="127"/>
      <c r="D772" s="6">
        <f t="shared" si="55"/>
        <v>0</v>
      </c>
      <c r="E772" s="6"/>
      <c r="F772" s="6">
        <f t="shared" si="59"/>
        <v>0</v>
      </c>
      <c r="G772" s="149">
        <f>INDEX('Step 4 Stage Discharge'!E$26:F$126,MATCH(F772,'Step 4 Stage Discharge'!E$26:E$126,1),2)+(INDEX('Step 4 Stage Discharge'!E$26:F$126,MATCH(F772,'Step 4 Stage Discharge'!E$26:E$126,1)+1,2)-INDEX('Step 4 Stage Discharge'!E$26:F$126,MATCH(F772,'Step 4 Stage Discharge'!E$26:E$126,1),2))*(F772-INDEX('Step 4 Stage Discharge'!E$26:F$126,MATCH(F772,'Step 4 Stage Discharge'!E$26:E$126,1),1))/(INDEX('Step 4 Stage Discharge'!E$26:F$126,MATCH(F772,'Step 4 Stage Discharge'!E$26:E$126,1)+1,1)-INDEX('Step 4 Stage Discharge'!E$26:F$126,MATCH(F772,'Step 4 Stage Discharge'!E$26:E$126,1),1))</f>
        <v>0</v>
      </c>
      <c r="H772" s="149"/>
      <c r="I772" s="149">
        <f>INDEX('Step 4 Stage Discharge'!E$26:M$126,MATCH(F772,'Step 4 Stage Discharge'!E$26:E$126,1),9)+(INDEX('Step 4 Stage Discharge'!E$26:M$126,MATCH('Step 5 Routing'!F772,'Step 4 Stage Discharge'!E$26:E$126,1)+1,9)-INDEX('Step 4 Stage Discharge'!E$26:M$126,MATCH('Step 5 Routing'!F772,'Step 4 Stage Discharge'!E$26:E$126,1),9))*('Step 5 Routing'!F772-INDEX('Step 4 Stage Discharge'!E$26:M$126,MATCH('Step 5 Routing'!F772,'Step 4 Stage Discharge'!E$26:E$126,1),1))/(INDEX('Step 4 Stage Discharge'!E$26:M$126,MATCH('Step 5 Routing'!F772,'Step 4 Stage Discharge'!E$26:E$126,1)+1,1)-INDEX('Step 4 Stage Discharge'!E$26:M$126,MATCH('Step 5 Routing'!F772,'Step 4 Stage Discharge'!E$26:E$126,1),1))</f>
        <v>4.3639431710317386E-3</v>
      </c>
      <c r="J772" s="149"/>
      <c r="K772" s="6">
        <f t="shared" si="56"/>
        <v>0</v>
      </c>
      <c r="L772" s="6">
        <f t="shared" si="57"/>
        <v>0</v>
      </c>
    </row>
    <row r="773" spans="1:12">
      <c r="A773">
        <f t="shared" si="58"/>
        <v>760</v>
      </c>
      <c r="B773" s="136">
        <f>IF(C$5=Data!D$3,'Step 2 Inflow Hydrograph'!H817,IF(C$5=Data!D$4,'Step 2 Inflow Hydrograph'!I817,IF(C$5=Data!D$5,'Step 2 Inflow Hydrograph'!J817,'Step 2 Inflow Hydrograph'!K817)))</f>
        <v>0</v>
      </c>
      <c r="C773" s="127"/>
      <c r="D773" s="6">
        <f t="shared" si="55"/>
        <v>0</v>
      </c>
      <c r="E773" s="6"/>
      <c r="F773" s="6">
        <f t="shared" si="59"/>
        <v>0</v>
      </c>
      <c r="G773" s="149">
        <f>INDEX('Step 4 Stage Discharge'!E$26:F$126,MATCH(F773,'Step 4 Stage Discharge'!E$26:E$126,1),2)+(INDEX('Step 4 Stage Discharge'!E$26:F$126,MATCH(F773,'Step 4 Stage Discharge'!E$26:E$126,1)+1,2)-INDEX('Step 4 Stage Discharge'!E$26:F$126,MATCH(F773,'Step 4 Stage Discharge'!E$26:E$126,1),2))*(F773-INDEX('Step 4 Stage Discharge'!E$26:F$126,MATCH(F773,'Step 4 Stage Discharge'!E$26:E$126,1),1))/(INDEX('Step 4 Stage Discharge'!E$26:F$126,MATCH(F773,'Step 4 Stage Discharge'!E$26:E$126,1)+1,1)-INDEX('Step 4 Stage Discharge'!E$26:F$126,MATCH(F773,'Step 4 Stage Discharge'!E$26:E$126,1),1))</f>
        <v>0</v>
      </c>
      <c r="H773" s="149"/>
      <c r="I773" s="149">
        <f>INDEX('Step 4 Stage Discharge'!E$26:M$126,MATCH(F773,'Step 4 Stage Discharge'!E$26:E$126,1),9)+(INDEX('Step 4 Stage Discharge'!E$26:M$126,MATCH('Step 5 Routing'!F773,'Step 4 Stage Discharge'!E$26:E$126,1)+1,9)-INDEX('Step 4 Stage Discharge'!E$26:M$126,MATCH('Step 5 Routing'!F773,'Step 4 Stage Discharge'!E$26:E$126,1),9))*('Step 5 Routing'!F773-INDEX('Step 4 Stage Discharge'!E$26:M$126,MATCH('Step 5 Routing'!F773,'Step 4 Stage Discharge'!E$26:E$126,1),1))/(INDEX('Step 4 Stage Discharge'!E$26:M$126,MATCH('Step 5 Routing'!F773,'Step 4 Stage Discharge'!E$26:E$126,1)+1,1)-INDEX('Step 4 Stage Discharge'!E$26:M$126,MATCH('Step 5 Routing'!F773,'Step 4 Stage Discharge'!E$26:E$126,1),1))</f>
        <v>4.3639431710317386E-3</v>
      </c>
      <c r="J773" s="149"/>
      <c r="K773" s="6">
        <f t="shared" si="56"/>
        <v>0</v>
      </c>
      <c r="L773" s="6">
        <f t="shared" si="57"/>
        <v>0</v>
      </c>
    </row>
    <row r="774" spans="1:12">
      <c r="A774">
        <f t="shared" si="58"/>
        <v>761</v>
      </c>
      <c r="B774" s="136">
        <f>IF(C$5=Data!D$3,'Step 2 Inflow Hydrograph'!H818,IF(C$5=Data!D$4,'Step 2 Inflow Hydrograph'!I818,IF(C$5=Data!D$5,'Step 2 Inflow Hydrograph'!J818,'Step 2 Inflow Hydrograph'!K818)))</f>
        <v>0</v>
      </c>
      <c r="C774" s="127"/>
      <c r="D774" s="6">
        <f t="shared" si="55"/>
        <v>0</v>
      </c>
      <c r="E774" s="6"/>
      <c r="F774" s="6">
        <f t="shared" si="59"/>
        <v>0</v>
      </c>
      <c r="G774" s="149">
        <f>INDEX('Step 4 Stage Discharge'!E$26:F$126,MATCH(F774,'Step 4 Stage Discharge'!E$26:E$126,1),2)+(INDEX('Step 4 Stage Discharge'!E$26:F$126,MATCH(F774,'Step 4 Stage Discharge'!E$26:E$126,1)+1,2)-INDEX('Step 4 Stage Discharge'!E$26:F$126,MATCH(F774,'Step 4 Stage Discharge'!E$26:E$126,1),2))*(F774-INDEX('Step 4 Stage Discharge'!E$26:F$126,MATCH(F774,'Step 4 Stage Discharge'!E$26:E$126,1),1))/(INDEX('Step 4 Stage Discharge'!E$26:F$126,MATCH(F774,'Step 4 Stage Discharge'!E$26:E$126,1)+1,1)-INDEX('Step 4 Stage Discharge'!E$26:F$126,MATCH(F774,'Step 4 Stage Discharge'!E$26:E$126,1),1))</f>
        <v>0</v>
      </c>
      <c r="H774" s="149"/>
      <c r="I774" s="149">
        <f>INDEX('Step 4 Stage Discharge'!E$26:M$126,MATCH(F774,'Step 4 Stage Discharge'!E$26:E$126,1),9)+(INDEX('Step 4 Stage Discharge'!E$26:M$126,MATCH('Step 5 Routing'!F774,'Step 4 Stage Discharge'!E$26:E$126,1)+1,9)-INDEX('Step 4 Stage Discharge'!E$26:M$126,MATCH('Step 5 Routing'!F774,'Step 4 Stage Discharge'!E$26:E$126,1),9))*('Step 5 Routing'!F774-INDEX('Step 4 Stage Discharge'!E$26:M$126,MATCH('Step 5 Routing'!F774,'Step 4 Stage Discharge'!E$26:E$126,1),1))/(INDEX('Step 4 Stage Discharge'!E$26:M$126,MATCH('Step 5 Routing'!F774,'Step 4 Stage Discharge'!E$26:E$126,1)+1,1)-INDEX('Step 4 Stage Discharge'!E$26:M$126,MATCH('Step 5 Routing'!F774,'Step 4 Stage Discharge'!E$26:E$126,1),1))</f>
        <v>4.3639431710317386E-3</v>
      </c>
      <c r="J774" s="149"/>
      <c r="K774" s="6">
        <f t="shared" si="56"/>
        <v>0</v>
      </c>
      <c r="L774" s="6">
        <f t="shared" si="57"/>
        <v>0</v>
      </c>
    </row>
    <row r="775" spans="1:12">
      <c r="A775">
        <f t="shared" si="58"/>
        <v>762</v>
      </c>
      <c r="B775" s="136">
        <f>IF(C$5=Data!D$3,'Step 2 Inflow Hydrograph'!H819,IF(C$5=Data!D$4,'Step 2 Inflow Hydrograph'!I819,IF(C$5=Data!D$5,'Step 2 Inflow Hydrograph'!J819,'Step 2 Inflow Hydrograph'!K819)))</f>
        <v>0</v>
      </c>
      <c r="C775" s="127"/>
      <c r="D775" s="6">
        <f t="shared" si="55"/>
        <v>0</v>
      </c>
      <c r="E775" s="6"/>
      <c r="F775" s="6">
        <f t="shared" si="59"/>
        <v>0</v>
      </c>
      <c r="G775" s="149">
        <f>INDEX('Step 4 Stage Discharge'!E$26:F$126,MATCH(F775,'Step 4 Stage Discharge'!E$26:E$126,1),2)+(INDEX('Step 4 Stage Discharge'!E$26:F$126,MATCH(F775,'Step 4 Stage Discharge'!E$26:E$126,1)+1,2)-INDEX('Step 4 Stage Discharge'!E$26:F$126,MATCH(F775,'Step 4 Stage Discharge'!E$26:E$126,1),2))*(F775-INDEX('Step 4 Stage Discharge'!E$26:F$126,MATCH(F775,'Step 4 Stage Discharge'!E$26:E$126,1),1))/(INDEX('Step 4 Stage Discharge'!E$26:F$126,MATCH(F775,'Step 4 Stage Discharge'!E$26:E$126,1)+1,1)-INDEX('Step 4 Stage Discharge'!E$26:F$126,MATCH(F775,'Step 4 Stage Discharge'!E$26:E$126,1),1))</f>
        <v>0</v>
      </c>
      <c r="H775" s="149"/>
      <c r="I775" s="149">
        <f>INDEX('Step 4 Stage Discharge'!E$26:M$126,MATCH(F775,'Step 4 Stage Discharge'!E$26:E$126,1),9)+(INDEX('Step 4 Stage Discharge'!E$26:M$126,MATCH('Step 5 Routing'!F775,'Step 4 Stage Discharge'!E$26:E$126,1)+1,9)-INDEX('Step 4 Stage Discharge'!E$26:M$126,MATCH('Step 5 Routing'!F775,'Step 4 Stage Discharge'!E$26:E$126,1),9))*('Step 5 Routing'!F775-INDEX('Step 4 Stage Discharge'!E$26:M$126,MATCH('Step 5 Routing'!F775,'Step 4 Stage Discharge'!E$26:E$126,1),1))/(INDEX('Step 4 Stage Discharge'!E$26:M$126,MATCH('Step 5 Routing'!F775,'Step 4 Stage Discharge'!E$26:E$126,1)+1,1)-INDEX('Step 4 Stage Discharge'!E$26:M$126,MATCH('Step 5 Routing'!F775,'Step 4 Stage Discharge'!E$26:E$126,1),1))</f>
        <v>4.3639431710317386E-3</v>
      </c>
      <c r="J775" s="149"/>
      <c r="K775" s="6">
        <f t="shared" si="56"/>
        <v>0</v>
      </c>
      <c r="L775" s="6">
        <f t="shared" si="57"/>
        <v>0</v>
      </c>
    </row>
    <row r="776" spans="1:12">
      <c r="A776">
        <f t="shared" si="58"/>
        <v>763</v>
      </c>
      <c r="B776" s="136">
        <f>IF(C$5=Data!D$3,'Step 2 Inflow Hydrograph'!H820,IF(C$5=Data!D$4,'Step 2 Inflow Hydrograph'!I820,IF(C$5=Data!D$5,'Step 2 Inflow Hydrograph'!J820,'Step 2 Inflow Hydrograph'!K820)))</f>
        <v>0</v>
      </c>
      <c r="C776" s="127"/>
      <c r="D776" s="6">
        <f t="shared" si="55"/>
        <v>0</v>
      </c>
      <c r="E776" s="6"/>
      <c r="F776" s="6">
        <f t="shared" si="59"/>
        <v>0</v>
      </c>
      <c r="G776" s="149">
        <f>INDEX('Step 4 Stage Discharge'!E$26:F$126,MATCH(F776,'Step 4 Stage Discharge'!E$26:E$126,1),2)+(INDEX('Step 4 Stage Discharge'!E$26:F$126,MATCH(F776,'Step 4 Stage Discharge'!E$26:E$126,1)+1,2)-INDEX('Step 4 Stage Discharge'!E$26:F$126,MATCH(F776,'Step 4 Stage Discharge'!E$26:E$126,1),2))*(F776-INDEX('Step 4 Stage Discharge'!E$26:F$126,MATCH(F776,'Step 4 Stage Discharge'!E$26:E$126,1),1))/(INDEX('Step 4 Stage Discharge'!E$26:F$126,MATCH(F776,'Step 4 Stage Discharge'!E$26:E$126,1)+1,1)-INDEX('Step 4 Stage Discharge'!E$26:F$126,MATCH(F776,'Step 4 Stage Discharge'!E$26:E$126,1),1))</f>
        <v>0</v>
      </c>
      <c r="H776" s="149"/>
      <c r="I776" s="149">
        <f>INDEX('Step 4 Stage Discharge'!E$26:M$126,MATCH(F776,'Step 4 Stage Discharge'!E$26:E$126,1),9)+(INDEX('Step 4 Stage Discharge'!E$26:M$126,MATCH('Step 5 Routing'!F776,'Step 4 Stage Discharge'!E$26:E$126,1)+1,9)-INDEX('Step 4 Stage Discharge'!E$26:M$126,MATCH('Step 5 Routing'!F776,'Step 4 Stage Discharge'!E$26:E$126,1),9))*('Step 5 Routing'!F776-INDEX('Step 4 Stage Discharge'!E$26:M$126,MATCH('Step 5 Routing'!F776,'Step 4 Stage Discharge'!E$26:E$126,1),1))/(INDEX('Step 4 Stage Discharge'!E$26:M$126,MATCH('Step 5 Routing'!F776,'Step 4 Stage Discharge'!E$26:E$126,1)+1,1)-INDEX('Step 4 Stage Discharge'!E$26:M$126,MATCH('Step 5 Routing'!F776,'Step 4 Stage Discharge'!E$26:E$126,1),1))</f>
        <v>4.3639431710317386E-3</v>
      </c>
      <c r="J776" s="149"/>
      <c r="K776" s="6">
        <f t="shared" si="56"/>
        <v>0</v>
      </c>
      <c r="L776" s="6">
        <f t="shared" si="57"/>
        <v>0</v>
      </c>
    </row>
    <row r="777" spans="1:12">
      <c r="A777">
        <f t="shared" si="58"/>
        <v>764</v>
      </c>
      <c r="B777" s="136">
        <f>IF(C$5=Data!D$3,'Step 2 Inflow Hydrograph'!H821,IF(C$5=Data!D$4,'Step 2 Inflow Hydrograph'!I821,IF(C$5=Data!D$5,'Step 2 Inflow Hydrograph'!J821,'Step 2 Inflow Hydrograph'!K821)))</f>
        <v>0</v>
      </c>
      <c r="C777" s="127"/>
      <c r="D777" s="6">
        <f t="shared" si="55"/>
        <v>0</v>
      </c>
      <c r="E777" s="6"/>
      <c r="F777" s="6">
        <f t="shared" si="59"/>
        <v>0</v>
      </c>
      <c r="G777" s="149">
        <f>INDEX('Step 4 Stage Discharge'!E$26:F$126,MATCH(F777,'Step 4 Stage Discharge'!E$26:E$126,1),2)+(INDEX('Step 4 Stage Discharge'!E$26:F$126,MATCH(F777,'Step 4 Stage Discharge'!E$26:E$126,1)+1,2)-INDEX('Step 4 Stage Discharge'!E$26:F$126,MATCH(F777,'Step 4 Stage Discharge'!E$26:E$126,1),2))*(F777-INDEX('Step 4 Stage Discharge'!E$26:F$126,MATCH(F777,'Step 4 Stage Discharge'!E$26:E$126,1),1))/(INDEX('Step 4 Stage Discharge'!E$26:F$126,MATCH(F777,'Step 4 Stage Discharge'!E$26:E$126,1)+1,1)-INDEX('Step 4 Stage Discharge'!E$26:F$126,MATCH(F777,'Step 4 Stage Discharge'!E$26:E$126,1),1))</f>
        <v>0</v>
      </c>
      <c r="H777" s="149"/>
      <c r="I777" s="149">
        <f>INDEX('Step 4 Stage Discharge'!E$26:M$126,MATCH(F777,'Step 4 Stage Discharge'!E$26:E$126,1),9)+(INDEX('Step 4 Stage Discharge'!E$26:M$126,MATCH('Step 5 Routing'!F777,'Step 4 Stage Discharge'!E$26:E$126,1)+1,9)-INDEX('Step 4 Stage Discharge'!E$26:M$126,MATCH('Step 5 Routing'!F777,'Step 4 Stage Discharge'!E$26:E$126,1),9))*('Step 5 Routing'!F777-INDEX('Step 4 Stage Discharge'!E$26:M$126,MATCH('Step 5 Routing'!F777,'Step 4 Stage Discharge'!E$26:E$126,1),1))/(INDEX('Step 4 Stage Discharge'!E$26:M$126,MATCH('Step 5 Routing'!F777,'Step 4 Stage Discharge'!E$26:E$126,1)+1,1)-INDEX('Step 4 Stage Discharge'!E$26:M$126,MATCH('Step 5 Routing'!F777,'Step 4 Stage Discharge'!E$26:E$126,1),1))</f>
        <v>4.3639431710317386E-3</v>
      </c>
      <c r="J777" s="149"/>
      <c r="K777" s="6">
        <f t="shared" si="56"/>
        <v>0</v>
      </c>
      <c r="L777" s="6">
        <f t="shared" si="57"/>
        <v>0</v>
      </c>
    </row>
    <row r="778" spans="1:12">
      <c r="A778">
        <f t="shared" si="58"/>
        <v>765</v>
      </c>
      <c r="B778" s="136">
        <f>IF(C$5=Data!D$3,'Step 2 Inflow Hydrograph'!H822,IF(C$5=Data!D$4,'Step 2 Inflow Hydrograph'!I822,IF(C$5=Data!D$5,'Step 2 Inflow Hydrograph'!J822,'Step 2 Inflow Hydrograph'!K822)))</f>
        <v>0</v>
      </c>
      <c r="C778" s="127"/>
      <c r="D778" s="6">
        <f t="shared" si="55"/>
        <v>0</v>
      </c>
      <c r="E778" s="6"/>
      <c r="F778" s="6">
        <f t="shared" si="59"/>
        <v>0</v>
      </c>
      <c r="G778" s="149">
        <f>INDEX('Step 4 Stage Discharge'!E$26:F$126,MATCH(F778,'Step 4 Stage Discharge'!E$26:E$126,1),2)+(INDEX('Step 4 Stage Discharge'!E$26:F$126,MATCH(F778,'Step 4 Stage Discharge'!E$26:E$126,1)+1,2)-INDEX('Step 4 Stage Discharge'!E$26:F$126,MATCH(F778,'Step 4 Stage Discharge'!E$26:E$126,1),2))*(F778-INDEX('Step 4 Stage Discharge'!E$26:F$126,MATCH(F778,'Step 4 Stage Discharge'!E$26:E$126,1),1))/(INDEX('Step 4 Stage Discharge'!E$26:F$126,MATCH(F778,'Step 4 Stage Discharge'!E$26:E$126,1)+1,1)-INDEX('Step 4 Stage Discharge'!E$26:F$126,MATCH(F778,'Step 4 Stage Discharge'!E$26:E$126,1),1))</f>
        <v>0</v>
      </c>
      <c r="H778" s="149"/>
      <c r="I778" s="149">
        <f>INDEX('Step 4 Stage Discharge'!E$26:M$126,MATCH(F778,'Step 4 Stage Discharge'!E$26:E$126,1),9)+(INDEX('Step 4 Stage Discharge'!E$26:M$126,MATCH('Step 5 Routing'!F778,'Step 4 Stage Discharge'!E$26:E$126,1)+1,9)-INDEX('Step 4 Stage Discharge'!E$26:M$126,MATCH('Step 5 Routing'!F778,'Step 4 Stage Discharge'!E$26:E$126,1),9))*('Step 5 Routing'!F778-INDEX('Step 4 Stage Discharge'!E$26:M$126,MATCH('Step 5 Routing'!F778,'Step 4 Stage Discharge'!E$26:E$126,1),1))/(INDEX('Step 4 Stage Discharge'!E$26:M$126,MATCH('Step 5 Routing'!F778,'Step 4 Stage Discharge'!E$26:E$126,1)+1,1)-INDEX('Step 4 Stage Discharge'!E$26:M$126,MATCH('Step 5 Routing'!F778,'Step 4 Stage Discharge'!E$26:E$126,1),1))</f>
        <v>4.3639431710317386E-3</v>
      </c>
      <c r="J778" s="149"/>
      <c r="K778" s="6">
        <f t="shared" si="56"/>
        <v>0</v>
      </c>
      <c r="L778" s="6">
        <f t="shared" si="57"/>
        <v>0</v>
      </c>
    </row>
    <row r="779" spans="1:12">
      <c r="A779">
        <f t="shared" si="58"/>
        <v>766</v>
      </c>
      <c r="B779" s="136">
        <f>IF(C$5=Data!D$3,'Step 2 Inflow Hydrograph'!H823,IF(C$5=Data!D$4,'Step 2 Inflow Hydrograph'!I823,IF(C$5=Data!D$5,'Step 2 Inflow Hydrograph'!J823,'Step 2 Inflow Hydrograph'!K823)))</f>
        <v>0</v>
      </c>
      <c r="C779" s="127"/>
      <c r="D779" s="6">
        <f t="shared" si="55"/>
        <v>0</v>
      </c>
      <c r="E779" s="6"/>
      <c r="F779" s="6">
        <f t="shared" si="59"/>
        <v>0</v>
      </c>
      <c r="G779" s="149">
        <f>INDEX('Step 4 Stage Discharge'!E$26:F$126,MATCH(F779,'Step 4 Stage Discharge'!E$26:E$126,1),2)+(INDEX('Step 4 Stage Discharge'!E$26:F$126,MATCH(F779,'Step 4 Stage Discharge'!E$26:E$126,1)+1,2)-INDEX('Step 4 Stage Discharge'!E$26:F$126,MATCH(F779,'Step 4 Stage Discharge'!E$26:E$126,1),2))*(F779-INDEX('Step 4 Stage Discharge'!E$26:F$126,MATCH(F779,'Step 4 Stage Discharge'!E$26:E$126,1),1))/(INDEX('Step 4 Stage Discharge'!E$26:F$126,MATCH(F779,'Step 4 Stage Discharge'!E$26:E$126,1)+1,1)-INDEX('Step 4 Stage Discharge'!E$26:F$126,MATCH(F779,'Step 4 Stage Discharge'!E$26:E$126,1),1))</f>
        <v>0</v>
      </c>
      <c r="H779" s="149"/>
      <c r="I779" s="149">
        <f>INDEX('Step 4 Stage Discharge'!E$26:M$126,MATCH(F779,'Step 4 Stage Discharge'!E$26:E$126,1),9)+(INDEX('Step 4 Stage Discharge'!E$26:M$126,MATCH('Step 5 Routing'!F779,'Step 4 Stage Discharge'!E$26:E$126,1)+1,9)-INDEX('Step 4 Stage Discharge'!E$26:M$126,MATCH('Step 5 Routing'!F779,'Step 4 Stage Discharge'!E$26:E$126,1),9))*('Step 5 Routing'!F779-INDEX('Step 4 Stage Discharge'!E$26:M$126,MATCH('Step 5 Routing'!F779,'Step 4 Stage Discharge'!E$26:E$126,1),1))/(INDEX('Step 4 Stage Discharge'!E$26:M$126,MATCH('Step 5 Routing'!F779,'Step 4 Stage Discharge'!E$26:E$126,1)+1,1)-INDEX('Step 4 Stage Discharge'!E$26:M$126,MATCH('Step 5 Routing'!F779,'Step 4 Stage Discharge'!E$26:E$126,1),1))</f>
        <v>4.3639431710317386E-3</v>
      </c>
      <c r="J779" s="149"/>
      <c r="K779" s="6">
        <f t="shared" si="56"/>
        <v>0</v>
      </c>
      <c r="L779" s="6">
        <f t="shared" si="57"/>
        <v>0</v>
      </c>
    </row>
    <row r="780" spans="1:12">
      <c r="A780">
        <f t="shared" si="58"/>
        <v>767</v>
      </c>
      <c r="B780" s="136">
        <f>IF(C$5=Data!D$3,'Step 2 Inflow Hydrograph'!H824,IF(C$5=Data!D$4,'Step 2 Inflow Hydrograph'!I824,IF(C$5=Data!D$5,'Step 2 Inflow Hydrograph'!J824,'Step 2 Inflow Hydrograph'!K824)))</f>
        <v>0</v>
      </c>
      <c r="C780" s="127"/>
      <c r="D780" s="6">
        <f t="shared" si="55"/>
        <v>0</v>
      </c>
      <c r="E780" s="6"/>
      <c r="F780" s="6">
        <f t="shared" si="59"/>
        <v>0</v>
      </c>
      <c r="G780" s="149">
        <f>INDEX('Step 4 Stage Discharge'!E$26:F$126,MATCH(F780,'Step 4 Stage Discharge'!E$26:E$126,1),2)+(INDEX('Step 4 Stage Discharge'!E$26:F$126,MATCH(F780,'Step 4 Stage Discharge'!E$26:E$126,1)+1,2)-INDEX('Step 4 Stage Discharge'!E$26:F$126,MATCH(F780,'Step 4 Stage Discharge'!E$26:E$126,1),2))*(F780-INDEX('Step 4 Stage Discharge'!E$26:F$126,MATCH(F780,'Step 4 Stage Discharge'!E$26:E$126,1),1))/(INDEX('Step 4 Stage Discharge'!E$26:F$126,MATCH(F780,'Step 4 Stage Discharge'!E$26:E$126,1)+1,1)-INDEX('Step 4 Stage Discharge'!E$26:F$126,MATCH(F780,'Step 4 Stage Discharge'!E$26:E$126,1),1))</f>
        <v>0</v>
      </c>
      <c r="H780" s="149"/>
      <c r="I780" s="149">
        <f>INDEX('Step 4 Stage Discharge'!E$26:M$126,MATCH(F780,'Step 4 Stage Discharge'!E$26:E$126,1),9)+(INDEX('Step 4 Stage Discharge'!E$26:M$126,MATCH('Step 5 Routing'!F780,'Step 4 Stage Discharge'!E$26:E$126,1)+1,9)-INDEX('Step 4 Stage Discharge'!E$26:M$126,MATCH('Step 5 Routing'!F780,'Step 4 Stage Discharge'!E$26:E$126,1),9))*('Step 5 Routing'!F780-INDEX('Step 4 Stage Discharge'!E$26:M$126,MATCH('Step 5 Routing'!F780,'Step 4 Stage Discharge'!E$26:E$126,1),1))/(INDEX('Step 4 Stage Discharge'!E$26:M$126,MATCH('Step 5 Routing'!F780,'Step 4 Stage Discharge'!E$26:E$126,1)+1,1)-INDEX('Step 4 Stage Discharge'!E$26:M$126,MATCH('Step 5 Routing'!F780,'Step 4 Stage Discharge'!E$26:E$126,1),1))</f>
        <v>4.3639431710317386E-3</v>
      </c>
      <c r="J780" s="149"/>
      <c r="K780" s="6">
        <f t="shared" si="56"/>
        <v>0</v>
      </c>
      <c r="L780" s="6">
        <f t="shared" si="57"/>
        <v>0</v>
      </c>
    </row>
    <row r="781" spans="1:12">
      <c r="A781">
        <f t="shared" si="58"/>
        <v>768</v>
      </c>
      <c r="B781" s="136">
        <f>IF(C$5=Data!D$3,'Step 2 Inflow Hydrograph'!H825,IF(C$5=Data!D$4,'Step 2 Inflow Hydrograph'!I825,IF(C$5=Data!D$5,'Step 2 Inflow Hydrograph'!J825,'Step 2 Inflow Hydrograph'!K825)))</f>
        <v>0</v>
      </c>
      <c r="C781" s="127"/>
      <c r="D781" s="6">
        <f t="shared" ref="D781:D844" si="60">IF(B781="",0,B781*D$8*60)</f>
        <v>0</v>
      </c>
      <c r="E781" s="6"/>
      <c r="F781" s="6">
        <f t="shared" si="59"/>
        <v>0</v>
      </c>
      <c r="G781" s="149">
        <f>INDEX('Step 4 Stage Discharge'!E$26:F$126,MATCH(F781,'Step 4 Stage Discharge'!E$26:E$126,1),2)+(INDEX('Step 4 Stage Discharge'!E$26:F$126,MATCH(F781,'Step 4 Stage Discharge'!E$26:E$126,1)+1,2)-INDEX('Step 4 Stage Discharge'!E$26:F$126,MATCH(F781,'Step 4 Stage Discharge'!E$26:E$126,1),2))*(F781-INDEX('Step 4 Stage Discharge'!E$26:F$126,MATCH(F781,'Step 4 Stage Discharge'!E$26:E$126,1),1))/(INDEX('Step 4 Stage Discharge'!E$26:F$126,MATCH(F781,'Step 4 Stage Discharge'!E$26:E$126,1)+1,1)-INDEX('Step 4 Stage Discharge'!E$26:F$126,MATCH(F781,'Step 4 Stage Discharge'!E$26:E$126,1),1))</f>
        <v>0</v>
      </c>
      <c r="H781" s="149"/>
      <c r="I781" s="149">
        <f>INDEX('Step 4 Stage Discharge'!E$26:M$126,MATCH(F781,'Step 4 Stage Discharge'!E$26:E$126,1),9)+(INDEX('Step 4 Stage Discharge'!E$26:M$126,MATCH('Step 5 Routing'!F781,'Step 4 Stage Discharge'!E$26:E$126,1)+1,9)-INDEX('Step 4 Stage Discharge'!E$26:M$126,MATCH('Step 5 Routing'!F781,'Step 4 Stage Discharge'!E$26:E$126,1),9))*('Step 5 Routing'!F781-INDEX('Step 4 Stage Discharge'!E$26:M$126,MATCH('Step 5 Routing'!F781,'Step 4 Stage Discharge'!E$26:E$126,1),1))/(INDEX('Step 4 Stage Discharge'!E$26:M$126,MATCH('Step 5 Routing'!F781,'Step 4 Stage Discharge'!E$26:E$126,1)+1,1)-INDEX('Step 4 Stage Discharge'!E$26:M$126,MATCH('Step 5 Routing'!F781,'Step 4 Stage Discharge'!E$26:E$126,1),1))</f>
        <v>4.3639431710317386E-3</v>
      </c>
      <c r="J781" s="149"/>
      <c r="K781" s="6">
        <f t="shared" ref="K781:K844" si="61">IF(I781*60*D$8&gt;F781,F781,I781*60*D$8)</f>
        <v>0</v>
      </c>
      <c r="L781" s="6">
        <f t="shared" ref="L781:L844" si="62">IF(F781-K781&lt;0,0,F781-K781)</f>
        <v>0</v>
      </c>
    </row>
    <row r="782" spans="1:12">
      <c r="A782">
        <f t="shared" ref="A782:A845" si="63">+A781+D$8</f>
        <v>769</v>
      </c>
      <c r="B782" s="136">
        <f>IF(C$5=Data!D$3,'Step 2 Inflow Hydrograph'!H826,IF(C$5=Data!D$4,'Step 2 Inflow Hydrograph'!I826,IF(C$5=Data!D$5,'Step 2 Inflow Hydrograph'!J826,'Step 2 Inflow Hydrograph'!K826)))</f>
        <v>0</v>
      </c>
      <c r="C782" s="127"/>
      <c r="D782" s="6">
        <f t="shared" si="60"/>
        <v>0</v>
      </c>
      <c r="E782" s="6"/>
      <c r="F782" s="6">
        <f t="shared" ref="F782:F845" si="64">+L781+D782</f>
        <v>0</v>
      </c>
      <c r="G782" s="149">
        <f>INDEX('Step 4 Stage Discharge'!E$26:F$126,MATCH(F782,'Step 4 Stage Discharge'!E$26:E$126,1),2)+(INDEX('Step 4 Stage Discharge'!E$26:F$126,MATCH(F782,'Step 4 Stage Discharge'!E$26:E$126,1)+1,2)-INDEX('Step 4 Stage Discharge'!E$26:F$126,MATCH(F782,'Step 4 Stage Discharge'!E$26:E$126,1),2))*(F782-INDEX('Step 4 Stage Discharge'!E$26:F$126,MATCH(F782,'Step 4 Stage Discharge'!E$26:E$126,1),1))/(INDEX('Step 4 Stage Discharge'!E$26:F$126,MATCH(F782,'Step 4 Stage Discharge'!E$26:E$126,1)+1,1)-INDEX('Step 4 Stage Discharge'!E$26:F$126,MATCH(F782,'Step 4 Stage Discharge'!E$26:E$126,1),1))</f>
        <v>0</v>
      </c>
      <c r="H782" s="149"/>
      <c r="I782" s="149">
        <f>INDEX('Step 4 Stage Discharge'!E$26:M$126,MATCH(F782,'Step 4 Stage Discharge'!E$26:E$126,1),9)+(INDEX('Step 4 Stage Discharge'!E$26:M$126,MATCH('Step 5 Routing'!F782,'Step 4 Stage Discharge'!E$26:E$126,1)+1,9)-INDEX('Step 4 Stage Discharge'!E$26:M$126,MATCH('Step 5 Routing'!F782,'Step 4 Stage Discharge'!E$26:E$126,1),9))*('Step 5 Routing'!F782-INDEX('Step 4 Stage Discharge'!E$26:M$126,MATCH('Step 5 Routing'!F782,'Step 4 Stage Discharge'!E$26:E$126,1),1))/(INDEX('Step 4 Stage Discharge'!E$26:M$126,MATCH('Step 5 Routing'!F782,'Step 4 Stage Discharge'!E$26:E$126,1)+1,1)-INDEX('Step 4 Stage Discharge'!E$26:M$126,MATCH('Step 5 Routing'!F782,'Step 4 Stage Discharge'!E$26:E$126,1),1))</f>
        <v>4.3639431710317386E-3</v>
      </c>
      <c r="J782" s="149"/>
      <c r="K782" s="6">
        <f t="shared" si="61"/>
        <v>0</v>
      </c>
      <c r="L782" s="6">
        <f t="shared" si="62"/>
        <v>0</v>
      </c>
    </row>
    <row r="783" spans="1:12">
      <c r="A783">
        <f t="shared" si="63"/>
        <v>770</v>
      </c>
      <c r="B783" s="136">
        <f>IF(C$5=Data!D$3,'Step 2 Inflow Hydrograph'!H827,IF(C$5=Data!D$4,'Step 2 Inflow Hydrograph'!I827,IF(C$5=Data!D$5,'Step 2 Inflow Hydrograph'!J827,'Step 2 Inflow Hydrograph'!K827)))</f>
        <v>0</v>
      </c>
      <c r="C783" s="127"/>
      <c r="D783" s="6">
        <f t="shared" si="60"/>
        <v>0</v>
      </c>
      <c r="E783" s="6"/>
      <c r="F783" s="6">
        <f t="shared" si="64"/>
        <v>0</v>
      </c>
      <c r="G783" s="149">
        <f>INDEX('Step 4 Stage Discharge'!E$26:F$126,MATCH(F783,'Step 4 Stage Discharge'!E$26:E$126,1),2)+(INDEX('Step 4 Stage Discharge'!E$26:F$126,MATCH(F783,'Step 4 Stage Discharge'!E$26:E$126,1)+1,2)-INDEX('Step 4 Stage Discharge'!E$26:F$126,MATCH(F783,'Step 4 Stage Discharge'!E$26:E$126,1),2))*(F783-INDEX('Step 4 Stage Discharge'!E$26:F$126,MATCH(F783,'Step 4 Stage Discharge'!E$26:E$126,1),1))/(INDEX('Step 4 Stage Discharge'!E$26:F$126,MATCH(F783,'Step 4 Stage Discharge'!E$26:E$126,1)+1,1)-INDEX('Step 4 Stage Discharge'!E$26:F$126,MATCH(F783,'Step 4 Stage Discharge'!E$26:E$126,1),1))</f>
        <v>0</v>
      </c>
      <c r="H783" s="149"/>
      <c r="I783" s="149">
        <f>INDEX('Step 4 Stage Discharge'!E$26:M$126,MATCH(F783,'Step 4 Stage Discharge'!E$26:E$126,1),9)+(INDEX('Step 4 Stage Discharge'!E$26:M$126,MATCH('Step 5 Routing'!F783,'Step 4 Stage Discharge'!E$26:E$126,1)+1,9)-INDEX('Step 4 Stage Discharge'!E$26:M$126,MATCH('Step 5 Routing'!F783,'Step 4 Stage Discharge'!E$26:E$126,1),9))*('Step 5 Routing'!F783-INDEX('Step 4 Stage Discharge'!E$26:M$126,MATCH('Step 5 Routing'!F783,'Step 4 Stage Discharge'!E$26:E$126,1),1))/(INDEX('Step 4 Stage Discharge'!E$26:M$126,MATCH('Step 5 Routing'!F783,'Step 4 Stage Discharge'!E$26:E$126,1)+1,1)-INDEX('Step 4 Stage Discharge'!E$26:M$126,MATCH('Step 5 Routing'!F783,'Step 4 Stage Discharge'!E$26:E$126,1),1))</f>
        <v>4.3639431710317386E-3</v>
      </c>
      <c r="J783" s="149"/>
      <c r="K783" s="6">
        <f t="shared" si="61"/>
        <v>0</v>
      </c>
      <c r="L783" s="6">
        <f t="shared" si="62"/>
        <v>0</v>
      </c>
    </row>
    <row r="784" spans="1:12">
      <c r="A784">
        <f t="shared" si="63"/>
        <v>771</v>
      </c>
      <c r="B784" s="136">
        <f>IF(C$5=Data!D$3,'Step 2 Inflow Hydrograph'!H828,IF(C$5=Data!D$4,'Step 2 Inflow Hydrograph'!I828,IF(C$5=Data!D$5,'Step 2 Inflow Hydrograph'!J828,'Step 2 Inflow Hydrograph'!K828)))</f>
        <v>0</v>
      </c>
      <c r="C784" s="127"/>
      <c r="D784" s="6">
        <f t="shared" si="60"/>
        <v>0</v>
      </c>
      <c r="E784" s="6"/>
      <c r="F784" s="6">
        <f t="shared" si="64"/>
        <v>0</v>
      </c>
      <c r="G784" s="149">
        <f>INDEX('Step 4 Stage Discharge'!E$26:F$126,MATCH(F784,'Step 4 Stage Discharge'!E$26:E$126,1),2)+(INDEX('Step 4 Stage Discharge'!E$26:F$126,MATCH(F784,'Step 4 Stage Discharge'!E$26:E$126,1)+1,2)-INDEX('Step 4 Stage Discharge'!E$26:F$126,MATCH(F784,'Step 4 Stage Discharge'!E$26:E$126,1),2))*(F784-INDEX('Step 4 Stage Discharge'!E$26:F$126,MATCH(F784,'Step 4 Stage Discharge'!E$26:E$126,1),1))/(INDEX('Step 4 Stage Discharge'!E$26:F$126,MATCH(F784,'Step 4 Stage Discharge'!E$26:E$126,1)+1,1)-INDEX('Step 4 Stage Discharge'!E$26:F$126,MATCH(F784,'Step 4 Stage Discharge'!E$26:E$126,1),1))</f>
        <v>0</v>
      </c>
      <c r="H784" s="149"/>
      <c r="I784" s="149">
        <f>INDEX('Step 4 Stage Discharge'!E$26:M$126,MATCH(F784,'Step 4 Stage Discharge'!E$26:E$126,1),9)+(INDEX('Step 4 Stage Discharge'!E$26:M$126,MATCH('Step 5 Routing'!F784,'Step 4 Stage Discharge'!E$26:E$126,1)+1,9)-INDEX('Step 4 Stage Discharge'!E$26:M$126,MATCH('Step 5 Routing'!F784,'Step 4 Stage Discharge'!E$26:E$126,1),9))*('Step 5 Routing'!F784-INDEX('Step 4 Stage Discharge'!E$26:M$126,MATCH('Step 5 Routing'!F784,'Step 4 Stage Discharge'!E$26:E$126,1),1))/(INDEX('Step 4 Stage Discharge'!E$26:M$126,MATCH('Step 5 Routing'!F784,'Step 4 Stage Discharge'!E$26:E$126,1)+1,1)-INDEX('Step 4 Stage Discharge'!E$26:M$126,MATCH('Step 5 Routing'!F784,'Step 4 Stage Discharge'!E$26:E$126,1),1))</f>
        <v>4.3639431710317386E-3</v>
      </c>
      <c r="J784" s="149"/>
      <c r="K784" s="6">
        <f t="shared" si="61"/>
        <v>0</v>
      </c>
      <c r="L784" s="6">
        <f t="shared" si="62"/>
        <v>0</v>
      </c>
    </row>
    <row r="785" spans="1:12">
      <c r="A785">
        <f t="shared" si="63"/>
        <v>772</v>
      </c>
      <c r="B785" s="136">
        <f>IF(C$5=Data!D$3,'Step 2 Inflow Hydrograph'!H829,IF(C$5=Data!D$4,'Step 2 Inflow Hydrograph'!I829,IF(C$5=Data!D$5,'Step 2 Inflow Hydrograph'!J829,'Step 2 Inflow Hydrograph'!K829)))</f>
        <v>0</v>
      </c>
      <c r="C785" s="127"/>
      <c r="D785" s="6">
        <f t="shared" si="60"/>
        <v>0</v>
      </c>
      <c r="E785" s="6"/>
      <c r="F785" s="6">
        <f t="shared" si="64"/>
        <v>0</v>
      </c>
      <c r="G785" s="149">
        <f>INDEX('Step 4 Stage Discharge'!E$26:F$126,MATCH(F785,'Step 4 Stage Discharge'!E$26:E$126,1),2)+(INDEX('Step 4 Stage Discharge'!E$26:F$126,MATCH(F785,'Step 4 Stage Discharge'!E$26:E$126,1)+1,2)-INDEX('Step 4 Stage Discharge'!E$26:F$126,MATCH(F785,'Step 4 Stage Discharge'!E$26:E$126,1),2))*(F785-INDEX('Step 4 Stage Discharge'!E$26:F$126,MATCH(F785,'Step 4 Stage Discharge'!E$26:E$126,1),1))/(INDEX('Step 4 Stage Discharge'!E$26:F$126,MATCH(F785,'Step 4 Stage Discharge'!E$26:E$126,1)+1,1)-INDEX('Step 4 Stage Discharge'!E$26:F$126,MATCH(F785,'Step 4 Stage Discharge'!E$26:E$126,1),1))</f>
        <v>0</v>
      </c>
      <c r="H785" s="149"/>
      <c r="I785" s="149">
        <f>INDEX('Step 4 Stage Discharge'!E$26:M$126,MATCH(F785,'Step 4 Stage Discharge'!E$26:E$126,1),9)+(INDEX('Step 4 Stage Discharge'!E$26:M$126,MATCH('Step 5 Routing'!F785,'Step 4 Stage Discharge'!E$26:E$126,1)+1,9)-INDEX('Step 4 Stage Discharge'!E$26:M$126,MATCH('Step 5 Routing'!F785,'Step 4 Stage Discharge'!E$26:E$126,1),9))*('Step 5 Routing'!F785-INDEX('Step 4 Stage Discharge'!E$26:M$126,MATCH('Step 5 Routing'!F785,'Step 4 Stage Discharge'!E$26:E$126,1),1))/(INDEX('Step 4 Stage Discharge'!E$26:M$126,MATCH('Step 5 Routing'!F785,'Step 4 Stage Discharge'!E$26:E$126,1)+1,1)-INDEX('Step 4 Stage Discharge'!E$26:M$126,MATCH('Step 5 Routing'!F785,'Step 4 Stage Discharge'!E$26:E$126,1),1))</f>
        <v>4.3639431710317386E-3</v>
      </c>
      <c r="J785" s="149"/>
      <c r="K785" s="6">
        <f t="shared" si="61"/>
        <v>0</v>
      </c>
      <c r="L785" s="6">
        <f t="shared" si="62"/>
        <v>0</v>
      </c>
    </row>
    <row r="786" spans="1:12">
      <c r="A786">
        <f t="shared" si="63"/>
        <v>773</v>
      </c>
      <c r="B786" s="136">
        <f>IF(C$5=Data!D$3,'Step 2 Inflow Hydrograph'!H830,IF(C$5=Data!D$4,'Step 2 Inflow Hydrograph'!I830,IF(C$5=Data!D$5,'Step 2 Inflow Hydrograph'!J830,'Step 2 Inflow Hydrograph'!K830)))</f>
        <v>0</v>
      </c>
      <c r="C786" s="127"/>
      <c r="D786" s="6">
        <f t="shared" si="60"/>
        <v>0</v>
      </c>
      <c r="E786" s="6"/>
      <c r="F786" s="6">
        <f t="shared" si="64"/>
        <v>0</v>
      </c>
      <c r="G786" s="149">
        <f>INDEX('Step 4 Stage Discharge'!E$26:F$126,MATCH(F786,'Step 4 Stage Discharge'!E$26:E$126,1),2)+(INDEX('Step 4 Stage Discharge'!E$26:F$126,MATCH(F786,'Step 4 Stage Discharge'!E$26:E$126,1)+1,2)-INDEX('Step 4 Stage Discharge'!E$26:F$126,MATCH(F786,'Step 4 Stage Discharge'!E$26:E$126,1),2))*(F786-INDEX('Step 4 Stage Discharge'!E$26:F$126,MATCH(F786,'Step 4 Stage Discharge'!E$26:E$126,1),1))/(INDEX('Step 4 Stage Discharge'!E$26:F$126,MATCH(F786,'Step 4 Stage Discharge'!E$26:E$126,1)+1,1)-INDEX('Step 4 Stage Discharge'!E$26:F$126,MATCH(F786,'Step 4 Stage Discharge'!E$26:E$126,1),1))</f>
        <v>0</v>
      </c>
      <c r="H786" s="149"/>
      <c r="I786" s="149">
        <f>INDEX('Step 4 Stage Discharge'!E$26:M$126,MATCH(F786,'Step 4 Stage Discharge'!E$26:E$126,1),9)+(INDEX('Step 4 Stage Discharge'!E$26:M$126,MATCH('Step 5 Routing'!F786,'Step 4 Stage Discharge'!E$26:E$126,1)+1,9)-INDEX('Step 4 Stage Discharge'!E$26:M$126,MATCH('Step 5 Routing'!F786,'Step 4 Stage Discharge'!E$26:E$126,1),9))*('Step 5 Routing'!F786-INDEX('Step 4 Stage Discharge'!E$26:M$126,MATCH('Step 5 Routing'!F786,'Step 4 Stage Discharge'!E$26:E$126,1),1))/(INDEX('Step 4 Stage Discharge'!E$26:M$126,MATCH('Step 5 Routing'!F786,'Step 4 Stage Discharge'!E$26:E$126,1)+1,1)-INDEX('Step 4 Stage Discharge'!E$26:M$126,MATCH('Step 5 Routing'!F786,'Step 4 Stage Discharge'!E$26:E$126,1),1))</f>
        <v>4.3639431710317386E-3</v>
      </c>
      <c r="J786" s="149"/>
      <c r="K786" s="6">
        <f t="shared" si="61"/>
        <v>0</v>
      </c>
      <c r="L786" s="6">
        <f t="shared" si="62"/>
        <v>0</v>
      </c>
    </row>
    <row r="787" spans="1:12">
      <c r="A787">
        <f t="shared" si="63"/>
        <v>774</v>
      </c>
      <c r="B787" s="136">
        <f>IF(C$5=Data!D$3,'Step 2 Inflow Hydrograph'!H831,IF(C$5=Data!D$4,'Step 2 Inflow Hydrograph'!I831,IF(C$5=Data!D$5,'Step 2 Inflow Hydrograph'!J831,'Step 2 Inflow Hydrograph'!K831)))</f>
        <v>0</v>
      </c>
      <c r="C787" s="127"/>
      <c r="D787" s="6">
        <f t="shared" si="60"/>
        <v>0</v>
      </c>
      <c r="E787" s="6"/>
      <c r="F787" s="6">
        <f t="shared" si="64"/>
        <v>0</v>
      </c>
      <c r="G787" s="149">
        <f>INDEX('Step 4 Stage Discharge'!E$26:F$126,MATCH(F787,'Step 4 Stage Discharge'!E$26:E$126,1),2)+(INDEX('Step 4 Stage Discharge'!E$26:F$126,MATCH(F787,'Step 4 Stage Discharge'!E$26:E$126,1)+1,2)-INDEX('Step 4 Stage Discharge'!E$26:F$126,MATCH(F787,'Step 4 Stage Discharge'!E$26:E$126,1),2))*(F787-INDEX('Step 4 Stage Discharge'!E$26:F$126,MATCH(F787,'Step 4 Stage Discharge'!E$26:E$126,1),1))/(INDEX('Step 4 Stage Discharge'!E$26:F$126,MATCH(F787,'Step 4 Stage Discharge'!E$26:E$126,1)+1,1)-INDEX('Step 4 Stage Discharge'!E$26:F$126,MATCH(F787,'Step 4 Stage Discharge'!E$26:E$126,1),1))</f>
        <v>0</v>
      </c>
      <c r="H787" s="149"/>
      <c r="I787" s="149">
        <f>INDEX('Step 4 Stage Discharge'!E$26:M$126,MATCH(F787,'Step 4 Stage Discharge'!E$26:E$126,1),9)+(INDEX('Step 4 Stage Discharge'!E$26:M$126,MATCH('Step 5 Routing'!F787,'Step 4 Stage Discharge'!E$26:E$126,1)+1,9)-INDEX('Step 4 Stage Discharge'!E$26:M$126,MATCH('Step 5 Routing'!F787,'Step 4 Stage Discharge'!E$26:E$126,1),9))*('Step 5 Routing'!F787-INDEX('Step 4 Stage Discharge'!E$26:M$126,MATCH('Step 5 Routing'!F787,'Step 4 Stage Discharge'!E$26:E$126,1),1))/(INDEX('Step 4 Stage Discharge'!E$26:M$126,MATCH('Step 5 Routing'!F787,'Step 4 Stage Discharge'!E$26:E$126,1)+1,1)-INDEX('Step 4 Stage Discharge'!E$26:M$126,MATCH('Step 5 Routing'!F787,'Step 4 Stage Discharge'!E$26:E$126,1),1))</f>
        <v>4.3639431710317386E-3</v>
      </c>
      <c r="J787" s="149"/>
      <c r="K787" s="6">
        <f t="shared" si="61"/>
        <v>0</v>
      </c>
      <c r="L787" s="6">
        <f t="shared" si="62"/>
        <v>0</v>
      </c>
    </row>
    <row r="788" spans="1:12">
      <c r="A788">
        <f t="shared" si="63"/>
        <v>775</v>
      </c>
      <c r="B788" s="136">
        <f>IF(C$5=Data!D$3,'Step 2 Inflow Hydrograph'!H832,IF(C$5=Data!D$4,'Step 2 Inflow Hydrograph'!I832,IF(C$5=Data!D$5,'Step 2 Inflow Hydrograph'!J832,'Step 2 Inflow Hydrograph'!K832)))</f>
        <v>0</v>
      </c>
      <c r="C788" s="127"/>
      <c r="D788" s="6">
        <f t="shared" si="60"/>
        <v>0</v>
      </c>
      <c r="E788" s="6"/>
      <c r="F788" s="6">
        <f t="shared" si="64"/>
        <v>0</v>
      </c>
      <c r="G788" s="149">
        <f>INDEX('Step 4 Stage Discharge'!E$26:F$126,MATCH(F788,'Step 4 Stage Discharge'!E$26:E$126,1),2)+(INDEX('Step 4 Stage Discharge'!E$26:F$126,MATCH(F788,'Step 4 Stage Discharge'!E$26:E$126,1)+1,2)-INDEX('Step 4 Stage Discharge'!E$26:F$126,MATCH(F788,'Step 4 Stage Discharge'!E$26:E$126,1),2))*(F788-INDEX('Step 4 Stage Discharge'!E$26:F$126,MATCH(F788,'Step 4 Stage Discharge'!E$26:E$126,1),1))/(INDEX('Step 4 Stage Discharge'!E$26:F$126,MATCH(F788,'Step 4 Stage Discharge'!E$26:E$126,1)+1,1)-INDEX('Step 4 Stage Discharge'!E$26:F$126,MATCH(F788,'Step 4 Stage Discharge'!E$26:E$126,1),1))</f>
        <v>0</v>
      </c>
      <c r="H788" s="149"/>
      <c r="I788" s="149">
        <f>INDEX('Step 4 Stage Discharge'!E$26:M$126,MATCH(F788,'Step 4 Stage Discharge'!E$26:E$126,1),9)+(INDEX('Step 4 Stage Discharge'!E$26:M$126,MATCH('Step 5 Routing'!F788,'Step 4 Stage Discharge'!E$26:E$126,1)+1,9)-INDEX('Step 4 Stage Discharge'!E$26:M$126,MATCH('Step 5 Routing'!F788,'Step 4 Stage Discharge'!E$26:E$126,1),9))*('Step 5 Routing'!F788-INDEX('Step 4 Stage Discharge'!E$26:M$126,MATCH('Step 5 Routing'!F788,'Step 4 Stage Discharge'!E$26:E$126,1),1))/(INDEX('Step 4 Stage Discharge'!E$26:M$126,MATCH('Step 5 Routing'!F788,'Step 4 Stage Discharge'!E$26:E$126,1)+1,1)-INDEX('Step 4 Stage Discharge'!E$26:M$126,MATCH('Step 5 Routing'!F788,'Step 4 Stage Discharge'!E$26:E$126,1),1))</f>
        <v>4.3639431710317386E-3</v>
      </c>
      <c r="J788" s="149"/>
      <c r="K788" s="6">
        <f t="shared" si="61"/>
        <v>0</v>
      </c>
      <c r="L788" s="6">
        <f t="shared" si="62"/>
        <v>0</v>
      </c>
    </row>
    <row r="789" spans="1:12">
      <c r="A789">
        <f t="shared" si="63"/>
        <v>776</v>
      </c>
      <c r="B789" s="136">
        <f>IF(C$5=Data!D$3,'Step 2 Inflow Hydrograph'!H833,IF(C$5=Data!D$4,'Step 2 Inflow Hydrograph'!I833,IF(C$5=Data!D$5,'Step 2 Inflow Hydrograph'!J833,'Step 2 Inflow Hydrograph'!K833)))</f>
        <v>0</v>
      </c>
      <c r="C789" s="127"/>
      <c r="D789" s="6">
        <f t="shared" si="60"/>
        <v>0</v>
      </c>
      <c r="E789" s="6"/>
      <c r="F789" s="6">
        <f t="shared" si="64"/>
        <v>0</v>
      </c>
      <c r="G789" s="149">
        <f>INDEX('Step 4 Stage Discharge'!E$26:F$126,MATCH(F789,'Step 4 Stage Discharge'!E$26:E$126,1),2)+(INDEX('Step 4 Stage Discharge'!E$26:F$126,MATCH(F789,'Step 4 Stage Discharge'!E$26:E$126,1)+1,2)-INDEX('Step 4 Stage Discharge'!E$26:F$126,MATCH(F789,'Step 4 Stage Discharge'!E$26:E$126,1),2))*(F789-INDEX('Step 4 Stage Discharge'!E$26:F$126,MATCH(F789,'Step 4 Stage Discharge'!E$26:E$126,1),1))/(INDEX('Step 4 Stage Discharge'!E$26:F$126,MATCH(F789,'Step 4 Stage Discharge'!E$26:E$126,1)+1,1)-INDEX('Step 4 Stage Discharge'!E$26:F$126,MATCH(F789,'Step 4 Stage Discharge'!E$26:E$126,1),1))</f>
        <v>0</v>
      </c>
      <c r="H789" s="149"/>
      <c r="I789" s="149">
        <f>INDEX('Step 4 Stage Discharge'!E$26:M$126,MATCH(F789,'Step 4 Stage Discharge'!E$26:E$126,1),9)+(INDEX('Step 4 Stage Discharge'!E$26:M$126,MATCH('Step 5 Routing'!F789,'Step 4 Stage Discharge'!E$26:E$126,1)+1,9)-INDEX('Step 4 Stage Discharge'!E$26:M$126,MATCH('Step 5 Routing'!F789,'Step 4 Stage Discharge'!E$26:E$126,1),9))*('Step 5 Routing'!F789-INDEX('Step 4 Stage Discharge'!E$26:M$126,MATCH('Step 5 Routing'!F789,'Step 4 Stage Discharge'!E$26:E$126,1),1))/(INDEX('Step 4 Stage Discharge'!E$26:M$126,MATCH('Step 5 Routing'!F789,'Step 4 Stage Discharge'!E$26:E$126,1)+1,1)-INDEX('Step 4 Stage Discharge'!E$26:M$126,MATCH('Step 5 Routing'!F789,'Step 4 Stage Discharge'!E$26:E$126,1),1))</f>
        <v>4.3639431710317386E-3</v>
      </c>
      <c r="J789" s="149"/>
      <c r="K789" s="6">
        <f t="shared" si="61"/>
        <v>0</v>
      </c>
      <c r="L789" s="6">
        <f t="shared" si="62"/>
        <v>0</v>
      </c>
    </row>
    <row r="790" spans="1:12">
      <c r="A790">
        <f t="shared" si="63"/>
        <v>777</v>
      </c>
      <c r="B790" s="136">
        <f>IF(C$5=Data!D$3,'Step 2 Inflow Hydrograph'!H834,IF(C$5=Data!D$4,'Step 2 Inflow Hydrograph'!I834,IF(C$5=Data!D$5,'Step 2 Inflow Hydrograph'!J834,'Step 2 Inflow Hydrograph'!K834)))</f>
        <v>0</v>
      </c>
      <c r="C790" s="127"/>
      <c r="D790" s="6">
        <f t="shared" si="60"/>
        <v>0</v>
      </c>
      <c r="E790" s="6"/>
      <c r="F790" s="6">
        <f t="shared" si="64"/>
        <v>0</v>
      </c>
      <c r="G790" s="149">
        <f>INDEX('Step 4 Stage Discharge'!E$26:F$126,MATCH(F790,'Step 4 Stage Discharge'!E$26:E$126,1),2)+(INDEX('Step 4 Stage Discharge'!E$26:F$126,MATCH(F790,'Step 4 Stage Discharge'!E$26:E$126,1)+1,2)-INDEX('Step 4 Stage Discharge'!E$26:F$126,MATCH(F790,'Step 4 Stage Discharge'!E$26:E$126,1),2))*(F790-INDEX('Step 4 Stage Discharge'!E$26:F$126,MATCH(F790,'Step 4 Stage Discharge'!E$26:E$126,1),1))/(INDEX('Step 4 Stage Discharge'!E$26:F$126,MATCH(F790,'Step 4 Stage Discharge'!E$26:E$126,1)+1,1)-INDEX('Step 4 Stage Discharge'!E$26:F$126,MATCH(F790,'Step 4 Stage Discharge'!E$26:E$126,1),1))</f>
        <v>0</v>
      </c>
      <c r="H790" s="149"/>
      <c r="I790" s="149">
        <f>INDEX('Step 4 Stage Discharge'!E$26:M$126,MATCH(F790,'Step 4 Stage Discharge'!E$26:E$126,1),9)+(INDEX('Step 4 Stage Discharge'!E$26:M$126,MATCH('Step 5 Routing'!F790,'Step 4 Stage Discharge'!E$26:E$126,1)+1,9)-INDEX('Step 4 Stage Discharge'!E$26:M$126,MATCH('Step 5 Routing'!F790,'Step 4 Stage Discharge'!E$26:E$126,1),9))*('Step 5 Routing'!F790-INDEX('Step 4 Stage Discharge'!E$26:M$126,MATCH('Step 5 Routing'!F790,'Step 4 Stage Discharge'!E$26:E$126,1),1))/(INDEX('Step 4 Stage Discharge'!E$26:M$126,MATCH('Step 5 Routing'!F790,'Step 4 Stage Discharge'!E$26:E$126,1)+1,1)-INDEX('Step 4 Stage Discharge'!E$26:M$126,MATCH('Step 5 Routing'!F790,'Step 4 Stage Discharge'!E$26:E$126,1),1))</f>
        <v>4.3639431710317386E-3</v>
      </c>
      <c r="J790" s="149"/>
      <c r="K790" s="6">
        <f t="shared" si="61"/>
        <v>0</v>
      </c>
      <c r="L790" s="6">
        <f t="shared" si="62"/>
        <v>0</v>
      </c>
    </row>
    <row r="791" spans="1:12">
      <c r="A791">
        <f t="shared" si="63"/>
        <v>778</v>
      </c>
      <c r="B791" s="136">
        <f>IF(C$5=Data!D$3,'Step 2 Inflow Hydrograph'!H835,IF(C$5=Data!D$4,'Step 2 Inflow Hydrograph'!I835,IF(C$5=Data!D$5,'Step 2 Inflow Hydrograph'!J835,'Step 2 Inflow Hydrograph'!K835)))</f>
        <v>0</v>
      </c>
      <c r="C791" s="127"/>
      <c r="D791" s="6">
        <f t="shared" si="60"/>
        <v>0</v>
      </c>
      <c r="E791" s="6"/>
      <c r="F791" s="6">
        <f t="shared" si="64"/>
        <v>0</v>
      </c>
      <c r="G791" s="149">
        <f>INDEX('Step 4 Stage Discharge'!E$26:F$126,MATCH(F791,'Step 4 Stage Discharge'!E$26:E$126,1),2)+(INDEX('Step 4 Stage Discharge'!E$26:F$126,MATCH(F791,'Step 4 Stage Discharge'!E$26:E$126,1)+1,2)-INDEX('Step 4 Stage Discharge'!E$26:F$126,MATCH(F791,'Step 4 Stage Discharge'!E$26:E$126,1),2))*(F791-INDEX('Step 4 Stage Discharge'!E$26:F$126,MATCH(F791,'Step 4 Stage Discharge'!E$26:E$126,1),1))/(INDEX('Step 4 Stage Discharge'!E$26:F$126,MATCH(F791,'Step 4 Stage Discharge'!E$26:E$126,1)+1,1)-INDEX('Step 4 Stage Discharge'!E$26:F$126,MATCH(F791,'Step 4 Stage Discharge'!E$26:E$126,1),1))</f>
        <v>0</v>
      </c>
      <c r="H791" s="149"/>
      <c r="I791" s="149">
        <f>INDEX('Step 4 Stage Discharge'!E$26:M$126,MATCH(F791,'Step 4 Stage Discharge'!E$26:E$126,1),9)+(INDEX('Step 4 Stage Discharge'!E$26:M$126,MATCH('Step 5 Routing'!F791,'Step 4 Stage Discharge'!E$26:E$126,1)+1,9)-INDEX('Step 4 Stage Discharge'!E$26:M$126,MATCH('Step 5 Routing'!F791,'Step 4 Stage Discharge'!E$26:E$126,1),9))*('Step 5 Routing'!F791-INDEX('Step 4 Stage Discharge'!E$26:M$126,MATCH('Step 5 Routing'!F791,'Step 4 Stage Discharge'!E$26:E$126,1),1))/(INDEX('Step 4 Stage Discharge'!E$26:M$126,MATCH('Step 5 Routing'!F791,'Step 4 Stage Discharge'!E$26:E$126,1)+1,1)-INDEX('Step 4 Stage Discharge'!E$26:M$126,MATCH('Step 5 Routing'!F791,'Step 4 Stage Discharge'!E$26:E$126,1),1))</f>
        <v>4.3639431710317386E-3</v>
      </c>
      <c r="J791" s="149"/>
      <c r="K791" s="6">
        <f t="shared" si="61"/>
        <v>0</v>
      </c>
      <c r="L791" s="6">
        <f t="shared" si="62"/>
        <v>0</v>
      </c>
    </row>
    <row r="792" spans="1:12">
      <c r="A792">
        <f t="shared" si="63"/>
        <v>779</v>
      </c>
      <c r="B792" s="136">
        <f>IF(C$5=Data!D$3,'Step 2 Inflow Hydrograph'!H836,IF(C$5=Data!D$4,'Step 2 Inflow Hydrograph'!I836,IF(C$5=Data!D$5,'Step 2 Inflow Hydrograph'!J836,'Step 2 Inflow Hydrograph'!K836)))</f>
        <v>0</v>
      </c>
      <c r="C792" s="127"/>
      <c r="D792" s="6">
        <f t="shared" si="60"/>
        <v>0</v>
      </c>
      <c r="E792" s="6"/>
      <c r="F792" s="6">
        <f t="shared" si="64"/>
        <v>0</v>
      </c>
      <c r="G792" s="149">
        <f>INDEX('Step 4 Stage Discharge'!E$26:F$126,MATCH(F792,'Step 4 Stage Discharge'!E$26:E$126,1),2)+(INDEX('Step 4 Stage Discharge'!E$26:F$126,MATCH(F792,'Step 4 Stage Discharge'!E$26:E$126,1)+1,2)-INDEX('Step 4 Stage Discharge'!E$26:F$126,MATCH(F792,'Step 4 Stage Discharge'!E$26:E$126,1),2))*(F792-INDEX('Step 4 Stage Discharge'!E$26:F$126,MATCH(F792,'Step 4 Stage Discharge'!E$26:E$126,1),1))/(INDEX('Step 4 Stage Discharge'!E$26:F$126,MATCH(F792,'Step 4 Stage Discharge'!E$26:E$126,1)+1,1)-INDEX('Step 4 Stage Discharge'!E$26:F$126,MATCH(F792,'Step 4 Stage Discharge'!E$26:E$126,1),1))</f>
        <v>0</v>
      </c>
      <c r="H792" s="149"/>
      <c r="I792" s="149">
        <f>INDEX('Step 4 Stage Discharge'!E$26:M$126,MATCH(F792,'Step 4 Stage Discharge'!E$26:E$126,1),9)+(INDEX('Step 4 Stage Discharge'!E$26:M$126,MATCH('Step 5 Routing'!F792,'Step 4 Stage Discharge'!E$26:E$126,1)+1,9)-INDEX('Step 4 Stage Discharge'!E$26:M$126,MATCH('Step 5 Routing'!F792,'Step 4 Stage Discharge'!E$26:E$126,1),9))*('Step 5 Routing'!F792-INDEX('Step 4 Stage Discharge'!E$26:M$126,MATCH('Step 5 Routing'!F792,'Step 4 Stage Discharge'!E$26:E$126,1),1))/(INDEX('Step 4 Stage Discharge'!E$26:M$126,MATCH('Step 5 Routing'!F792,'Step 4 Stage Discharge'!E$26:E$126,1)+1,1)-INDEX('Step 4 Stage Discharge'!E$26:M$126,MATCH('Step 5 Routing'!F792,'Step 4 Stage Discharge'!E$26:E$126,1),1))</f>
        <v>4.3639431710317386E-3</v>
      </c>
      <c r="J792" s="149"/>
      <c r="K792" s="6">
        <f t="shared" si="61"/>
        <v>0</v>
      </c>
      <c r="L792" s="6">
        <f t="shared" si="62"/>
        <v>0</v>
      </c>
    </row>
    <row r="793" spans="1:12">
      <c r="A793">
        <f t="shared" si="63"/>
        <v>780</v>
      </c>
      <c r="B793" s="136">
        <f>IF(C$5=Data!D$3,'Step 2 Inflow Hydrograph'!H837,IF(C$5=Data!D$4,'Step 2 Inflow Hydrograph'!I837,IF(C$5=Data!D$5,'Step 2 Inflow Hydrograph'!J837,'Step 2 Inflow Hydrograph'!K837)))</f>
        <v>0</v>
      </c>
      <c r="C793" s="127"/>
      <c r="D793" s="6">
        <f t="shared" si="60"/>
        <v>0</v>
      </c>
      <c r="E793" s="6"/>
      <c r="F793" s="6">
        <f t="shared" si="64"/>
        <v>0</v>
      </c>
      <c r="G793" s="149">
        <f>INDEX('Step 4 Stage Discharge'!E$26:F$126,MATCH(F793,'Step 4 Stage Discharge'!E$26:E$126,1),2)+(INDEX('Step 4 Stage Discharge'!E$26:F$126,MATCH(F793,'Step 4 Stage Discharge'!E$26:E$126,1)+1,2)-INDEX('Step 4 Stage Discharge'!E$26:F$126,MATCH(F793,'Step 4 Stage Discharge'!E$26:E$126,1),2))*(F793-INDEX('Step 4 Stage Discharge'!E$26:F$126,MATCH(F793,'Step 4 Stage Discharge'!E$26:E$126,1),1))/(INDEX('Step 4 Stage Discharge'!E$26:F$126,MATCH(F793,'Step 4 Stage Discharge'!E$26:E$126,1)+1,1)-INDEX('Step 4 Stage Discharge'!E$26:F$126,MATCH(F793,'Step 4 Stage Discharge'!E$26:E$126,1),1))</f>
        <v>0</v>
      </c>
      <c r="H793" s="149"/>
      <c r="I793" s="149">
        <f>INDEX('Step 4 Stage Discharge'!E$26:M$126,MATCH(F793,'Step 4 Stage Discharge'!E$26:E$126,1),9)+(INDEX('Step 4 Stage Discharge'!E$26:M$126,MATCH('Step 5 Routing'!F793,'Step 4 Stage Discharge'!E$26:E$126,1)+1,9)-INDEX('Step 4 Stage Discharge'!E$26:M$126,MATCH('Step 5 Routing'!F793,'Step 4 Stage Discharge'!E$26:E$126,1),9))*('Step 5 Routing'!F793-INDEX('Step 4 Stage Discharge'!E$26:M$126,MATCH('Step 5 Routing'!F793,'Step 4 Stage Discharge'!E$26:E$126,1),1))/(INDEX('Step 4 Stage Discharge'!E$26:M$126,MATCH('Step 5 Routing'!F793,'Step 4 Stage Discharge'!E$26:E$126,1)+1,1)-INDEX('Step 4 Stage Discharge'!E$26:M$126,MATCH('Step 5 Routing'!F793,'Step 4 Stage Discharge'!E$26:E$126,1),1))</f>
        <v>4.3639431710317386E-3</v>
      </c>
      <c r="J793" s="149"/>
      <c r="K793" s="6">
        <f t="shared" si="61"/>
        <v>0</v>
      </c>
      <c r="L793" s="6">
        <f t="shared" si="62"/>
        <v>0</v>
      </c>
    </row>
    <row r="794" spans="1:12">
      <c r="A794">
        <f t="shared" si="63"/>
        <v>781</v>
      </c>
      <c r="B794" s="136">
        <f>IF(C$5=Data!D$3,'Step 2 Inflow Hydrograph'!H838,IF(C$5=Data!D$4,'Step 2 Inflow Hydrograph'!I838,IF(C$5=Data!D$5,'Step 2 Inflow Hydrograph'!J838,'Step 2 Inflow Hydrograph'!K838)))</f>
        <v>0</v>
      </c>
      <c r="C794" s="127"/>
      <c r="D794" s="6">
        <f t="shared" si="60"/>
        <v>0</v>
      </c>
      <c r="E794" s="6"/>
      <c r="F794" s="6">
        <f t="shared" si="64"/>
        <v>0</v>
      </c>
      <c r="G794" s="149">
        <f>INDEX('Step 4 Stage Discharge'!E$26:F$126,MATCH(F794,'Step 4 Stage Discharge'!E$26:E$126,1),2)+(INDEX('Step 4 Stage Discharge'!E$26:F$126,MATCH(F794,'Step 4 Stage Discharge'!E$26:E$126,1)+1,2)-INDEX('Step 4 Stage Discharge'!E$26:F$126,MATCH(F794,'Step 4 Stage Discharge'!E$26:E$126,1),2))*(F794-INDEX('Step 4 Stage Discharge'!E$26:F$126,MATCH(F794,'Step 4 Stage Discharge'!E$26:E$126,1),1))/(INDEX('Step 4 Stage Discharge'!E$26:F$126,MATCH(F794,'Step 4 Stage Discharge'!E$26:E$126,1)+1,1)-INDEX('Step 4 Stage Discharge'!E$26:F$126,MATCH(F794,'Step 4 Stage Discharge'!E$26:E$126,1),1))</f>
        <v>0</v>
      </c>
      <c r="H794" s="149"/>
      <c r="I794" s="149">
        <f>INDEX('Step 4 Stage Discharge'!E$26:M$126,MATCH(F794,'Step 4 Stage Discharge'!E$26:E$126,1),9)+(INDEX('Step 4 Stage Discharge'!E$26:M$126,MATCH('Step 5 Routing'!F794,'Step 4 Stage Discharge'!E$26:E$126,1)+1,9)-INDEX('Step 4 Stage Discharge'!E$26:M$126,MATCH('Step 5 Routing'!F794,'Step 4 Stage Discharge'!E$26:E$126,1),9))*('Step 5 Routing'!F794-INDEX('Step 4 Stage Discharge'!E$26:M$126,MATCH('Step 5 Routing'!F794,'Step 4 Stage Discharge'!E$26:E$126,1),1))/(INDEX('Step 4 Stage Discharge'!E$26:M$126,MATCH('Step 5 Routing'!F794,'Step 4 Stage Discharge'!E$26:E$126,1)+1,1)-INDEX('Step 4 Stage Discharge'!E$26:M$126,MATCH('Step 5 Routing'!F794,'Step 4 Stage Discharge'!E$26:E$126,1),1))</f>
        <v>4.3639431710317386E-3</v>
      </c>
      <c r="J794" s="149"/>
      <c r="K794" s="6">
        <f t="shared" si="61"/>
        <v>0</v>
      </c>
      <c r="L794" s="6">
        <f t="shared" si="62"/>
        <v>0</v>
      </c>
    </row>
    <row r="795" spans="1:12">
      <c r="A795">
        <f t="shared" si="63"/>
        <v>782</v>
      </c>
      <c r="B795" s="136">
        <f>IF(C$5=Data!D$3,'Step 2 Inflow Hydrograph'!H839,IF(C$5=Data!D$4,'Step 2 Inflow Hydrograph'!I839,IF(C$5=Data!D$5,'Step 2 Inflow Hydrograph'!J839,'Step 2 Inflow Hydrograph'!K839)))</f>
        <v>0</v>
      </c>
      <c r="C795" s="127"/>
      <c r="D795" s="6">
        <f t="shared" si="60"/>
        <v>0</v>
      </c>
      <c r="E795" s="6"/>
      <c r="F795" s="6">
        <f t="shared" si="64"/>
        <v>0</v>
      </c>
      <c r="G795" s="149">
        <f>INDEX('Step 4 Stage Discharge'!E$26:F$126,MATCH(F795,'Step 4 Stage Discharge'!E$26:E$126,1),2)+(INDEX('Step 4 Stage Discharge'!E$26:F$126,MATCH(F795,'Step 4 Stage Discharge'!E$26:E$126,1)+1,2)-INDEX('Step 4 Stage Discharge'!E$26:F$126,MATCH(F795,'Step 4 Stage Discharge'!E$26:E$126,1),2))*(F795-INDEX('Step 4 Stage Discharge'!E$26:F$126,MATCH(F795,'Step 4 Stage Discharge'!E$26:E$126,1),1))/(INDEX('Step 4 Stage Discharge'!E$26:F$126,MATCH(F795,'Step 4 Stage Discharge'!E$26:E$126,1)+1,1)-INDEX('Step 4 Stage Discharge'!E$26:F$126,MATCH(F795,'Step 4 Stage Discharge'!E$26:E$126,1),1))</f>
        <v>0</v>
      </c>
      <c r="H795" s="149"/>
      <c r="I795" s="149">
        <f>INDEX('Step 4 Stage Discharge'!E$26:M$126,MATCH(F795,'Step 4 Stage Discharge'!E$26:E$126,1),9)+(INDEX('Step 4 Stage Discharge'!E$26:M$126,MATCH('Step 5 Routing'!F795,'Step 4 Stage Discharge'!E$26:E$126,1)+1,9)-INDEX('Step 4 Stage Discharge'!E$26:M$126,MATCH('Step 5 Routing'!F795,'Step 4 Stage Discharge'!E$26:E$126,1),9))*('Step 5 Routing'!F795-INDEX('Step 4 Stage Discharge'!E$26:M$126,MATCH('Step 5 Routing'!F795,'Step 4 Stage Discharge'!E$26:E$126,1),1))/(INDEX('Step 4 Stage Discharge'!E$26:M$126,MATCH('Step 5 Routing'!F795,'Step 4 Stage Discharge'!E$26:E$126,1)+1,1)-INDEX('Step 4 Stage Discharge'!E$26:M$126,MATCH('Step 5 Routing'!F795,'Step 4 Stage Discharge'!E$26:E$126,1),1))</f>
        <v>4.3639431710317386E-3</v>
      </c>
      <c r="J795" s="149"/>
      <c r="K795" s="6">
        <f t="shared" si="61"/>
        <v>0</v>
      </c>
      <c r="L795" s="6">
        <f t="shared" si="62"/>
        <v>0</v>
      </c>
    </row>
    <row r="796" spans="1:12">
      <c r="A796">
        <f t="shared" si="63"/>
        <v>783</v>
      </c>
      <c r="B796" s="136">
        <f>IF(C$5=Data!D$3,'Step 2 Inflow Hydrograph'!H840,IF(C$5=Data!D$4,'Step 2 Inflow Hydrograph'!I840,IF(C$5=Data!D$5,'Step 2 Inflow Hydrograph'!J840,'Step 2 Inflow Hydrograph'!K840)))</f>
        <v>0</v>
      </c>
      <c r="C796" s="127"/>
      <c r="D796" s="6">
        <f t="shared" si="60"/>
        <v>0</v>
      </c>
      <c r="E796" s="6"/>
      <c r="F796" s="6">
        <f t="shared" si="64"/>
        <v>0</v>
      </c>
      <c r="G796" s="149">
        <f>INDEX('Step 4 Stage Discharge'!E$26:F$126,MATCH(F796,'Step 4 Stage Discharge'!E$26:E$126,1),2)+(INDEX('Step 4 Stage Discharge'!E$26:F$126,MATCH(F796,'Step 4 Stage Discharge'!E$26:E$126,1)+1,2)-INDEX('Step 4 Stage Discharge'!E$26:F$126,MATCH(F796,'Step 4 Stage Discharge'!E$26:E$126,1),2))*(F796-INDEX('Step 4 Stage Discharge'!E$26:F$126,MATCH(F796,'Step 4 Stage Discharge'!E$26:E$126,1),1))/(INDEX('Step 4 Stage Discharge'!E$26:F$126,MATCH(F796,'Step 4 Stage Discharge'!E$26:E$126,1)+1,1)-INDEX('Step 4 Stage Discharge'!E$26:F$126,MATCH(F796,'Step 4 Stage Discharge'!E$26:E$126,1),1))</f>
        <v>0</v>
      </c>
      <c r="H796" s="149"/>
      <c r="I796" s="149">
        <f>INDEX('Step 4 Stage Discharge'!E$26:M$126,MATCH(F796,'Step 4 Stage Discharge'!E$26:E$126,1),9)+(INDEX('Step 4 Stage Discharge'!E$26:M$126,MATCH('Step 5 Routing'!F796,'Step 4 Stage Discharge'!E$26:E$126,1)+1,9)-INDEX('Step 4 Stage Discharge'!E$26:M$126,MATCH('Step 5 Routing'!F796,'Step 4 Stage Discharge'!E$26:E$126,1),9))*('Step 5 Routing'!F796-INDEX('Step 4 Stage Discharge'!E$26:M$126,MATCH('Step 5 Routing'!F796,'Step 4 Stage Discharge'!E$26:E$126,1),1))/(INDEX('Step 4 Stage Discharge'!E$26:M$126,MATCH('Step 5 Routing'!F796,'Step 4 Stage Discharge'!E$26:E$126,1)+1,1)-INDEX('Step 4 Stage Discharge'!E$26:M$126,MATCH('Step 5 Routing'!F796,'Step 4 Stage Discharge'!E$26:E$126,1),1))</f>
        <v>4.3639431710317386E-3</v>
      </c>
      <c r="J796" s="149"/>
      <c r="K796" s="6">
        <f t="shared" si="61"/>
        <v>0</v>
      </c>
      <c r="L796" s="6">
        <f t="shared" si="62"/>
        <v>0</v>
      </c>
    </row>
    <row r="797" spans="1:12">
      <c r="A797">
        <f t="shared" si="63"/>
        <v>784</v>
      </c>
      <c r="B797" s="136">
        <f>IF(C$5=Data!D$3,'Step 2 Inflow Hydrograph'!H841,IF(C$5=Data!D$4,'Step 2 Inflow Hydrograph'!I841,IF(C$5=Data!D$5,'Step 2 Inflow Hydrograph'!J841,'Step 2 Inflow Hydrograph'!K841)))</f>
        <v>0</v>
      </c>
      <c r="C797" s="127"/>
      <c r="D797" s="6">
        <f t="shared" si="60"/>
        <v>0</v>
      </c>
      <c r="E797" s="6"/>
      <c r="F797" s="6">
        <f t="shared" si="64"/>
        <v>0</v>
      </c>
      <c r="G797" s="149">
        <f>INDEX('Step 4 Stage Discharge'!E$26:F$126,MATCH(F797,'Step 4 Stage Discharge'!E$26:E$126,1),2)+(INDEX('Step 4 Stage Discharge'!E$26:F$126,MATCH(F797,'Step 4 Stage Discharge'!E$26:E$126,1)+1,2)-INDEX('Step 4 Stage Discharge'!E$26:F$126,MATCH(F797,'Step 4 Stage Discharge'!E$26:E$126,1),2))*(F797-INDEX('Step 4 Stage Discharge'!E$26:F$126,MATCH(F797,'Step 4 Stage Discharge'!E$26:E$126,1),1))/(INDEX('Step 4 Stage Discharge'!E$26:F$126,MATCH(F797,'Step 4 Stage Discharge'!E$26:E$126,1)+1,1)-INDEX('Step 4 Stage Discharge'!E$26:F$126,MATCH(F797,'Step 4 Stage Discharge'!E$26:E$126,1),1))</f>
        <v>0</v>
      </c>
      <c r="H797" s="149"/>
      <c r="I797" s="149">
        <f>INDEX('Step 4 Stage Discharge'!E$26:M$126,MATCH(F797,'Step 4 Stage Discharge'!E$26:E$126,1),9)+(INDEX('Step 4 Stage Discharge'!E$26:M$126,MATCH('Step 5 Routing'!F797,'Step 4 Stage Discharge'!E$26:E$126,1)+1,9)-INDEX('Step 4 Stage Discharge'!E$26:M$126,MATCH('Step 5 Routing'!F797,'Step 4 Stage Discharge'!E$26:E$126,1),9))*('Step 5 Routing'!F797-INDEX('Step 4 Stage Discharge'!E$26:M$126,MATCH('Step 5 Routing'!F797,'Step 4 Stage Discharge'!E$26:E$126,1),1))/(INDEX('Step 4 Stage Discharge'!E$26:M$126,MATCH('Step 5 Routing'!F797,'Step 4 Stage Discharge'!E$26:E$126,1)+1,1)-INDEX('Step 4 Stage Discharge'!E$26:M$126,MATCH('Step 5 Routing'!F797,'Step 4 Stage Discharge'!E$26:E$126,1),1))</f>
        <v>4.3639431710317386E-3</v>
      </c>
      <c r="J797" s="149"/>
      <c r="K797" s="6">
        <f t="shared" si="61"/>
        <v>0</v>
      </c>
      <c r="L797" s="6">
        <f t="shared" si="62"/>
        <v>0</v>
      </c>
    </row>
    <row r="798" spans="1:12">
      <c r="A798">
        <f t="shared" si="63"/>
        <v>785</v>
      </c>
      <c r="B798" s="136">
        <f>IF(C$5=Data!D$3,'Step 2 Inflow Hydrograph'!H842,IF(C$5=Data!D$4,'Step 2 Inflow Hydrograph'!I842,IF(C$5=Data!D$5,'Step 2 Inflow Hydrograph'!J842,'Step 2 Inflow Hydrograph'!K842)))</f>
        <v>0</v>
      </c>
      <c r="C798" s="127"/>
      <c r="D798" s="6">
        <f t="shared" si="60"/>
        <v>0</v>
      </c>
      <c r="E798" s="6"/>
      <c r="F798" s="6">
        <f t="shared" si="64"/>
        <v>0</v>
      </c>
      <c r="G798" s="149">
        <f>INDEX('Step 4 Stage Discharge'!E$26:F$126,MATCH(F798,'Step 4 Stage Discharge'!E$26:E$126,1),2)+(INDEX('Step 4 Stage Discharge'!E$26:F$126,MATCH(F798,'Step 4 Stage Discharge'!E$26:E$126,1)+1,2)-INDEX('Step 4 Stage Discharge'!E$26:F$126,MATCH(F798,'Step 4 Stage Discharge'!E$26:E$126,1),2))*(F798-INDEX('Step 4 Stage Discharge'!E$26:F$126,MATCH(F798,'Step 4 Stage Discharge'!E$26:E$126,1),1))/(INDEX('Step 4 Stage Discharge'!E$26:F$126,MATCH(F798,'Step 4 Stage Discharge'!E$26:E$126,1)+1,1)-INDEX('Step 4 Stage Discharge'!E$26:F$126,MATCH(F798,'Step 4 Stage Discharge'!E$26:E$126,1),1))</f>
        <v>0</v>
      </c>
      <c r="H798" s="149"/>
      <c r="I798" s="149">
        <f>INDEX('Step 4 Stage Discharge'!E$26:M$126,MATCH(F798,'Step 4 Stage Discharge'!E$26:E$126,1),9)+(INDEX('Step 4 Stage Discharge'!E$26:M$126,MATCH('Step 5 Routing'!F798,'Step 4 Stage Discharge'!E$26:E$126,1)+1,9)-INDEX('Step 4 Stage Discharge'!E$26:M$126,MATCH('Step 5 Routing'!F798,'Step 4 Stage Discharge'!E$26:E$126,1),9))*('Step 5 Routing'!F798-INDEX('Step 4 Stage Discharge'!E$26:M$126,MATCH('Step 5 Routing'!F798,'Step 4 Stage Discharge'!E$26:E$126,1),1))/(INDEX('Step 4 Stage Discharge'!E$26:M$126,MATCH('Step 5 Routing'!F798,'Step 4 Stage Discharge'!E$26:E$126,1)+1,1)-INDEX('Step 4 Stage Discharge'!E$26:M$126,MATCH('Step 5 Routing'!F798,'Step 4 Stage Discharge'!E$26:E$126,1),1))</f>
        <v>4.3639431710317386E-3</v>
      </c>
      <c r="J798" s="149"/>
      <c r="K798" s="6">
        <f t="shared" si="61"/>
        <v>0</v>
      </c>
      <c r="L798" s="6">
        <f t="shared" si="62"/>
        <v>0</v>
      </c>
    </row>
    <row r="799" spans="1:12">
      <c r="A799">
        <f t="shared" si="63"/>
        <v>786</v>
      </c>
      <c r="B799" s="136">
        <f>IF(C$5=Data!D$3,'Step 2 Inflow Hydrograph'!H843,IF(C$5=Data!D$4,'Step 2 Inflow Hydrograph'!I843,IF(C$5=Data!D$5,'Step 2 Inflow Hydrograph'!J843,'Step 2 Inflow Hydrograph'!K843)))</f>
        <v>0</v>
      </c>
      <c r="C799" s="127"/>
      <c r="D799" s="6">
        <f t="shared" si="60"/>
        <v>0</v>
      </c>
      <c r="E799" s="6"/>
      <c r="F799" s="6">
        <f t="shared" si="64"/>
        <v>0</v>
      </c>
      <c r="G799" s="149">
        <f>INDEX('Step 4 Stage Discharge'!E$26:F$126,MATCH(F799,'Step 4 Stage Discharge'!E$26:E$126,1),2)+(INDEX('Step 4 Stage Discharge'!E$26:F$126,MATCH(F799,'Step 4 Stage Discharge'!E$26:E$126,1)+1,2)-INDEX('Step 4 Stage Discharge'!E$26:F$126,MATCH(F799,'Step 4 Stage Discharge'!E$26:E$126,1),2))*(F799-INDEX('Step 4 Stage Discharge'!E$26:F$126,MATCH(F799,'Step 4 Stage Discharge'!E$26:E$126,1),1))/(INDEX('Step 4 Stage Discharge'!E$26:F$126,MATCH(F799,'Step 4 Stage Discharge'!E$26:E$126,1)+1,1)-INDEX('Step 4 Stage Discharge'!E$26:F$126,MATCH(F799,'Step 4 Stage Discharge'!E$26:E$126,1),1))</f>
        <v>0</v>
      </c>
      <c r="H799" s="149"/>
      <c r="I799" s="149">
        <f>INDEX('Step 4 Stage Discharge'!E$26:M$126,MATCH(F799,'Step 4 Stage Discharge'!E$26:E$126,1),9)+(INDEX('Step 4 Stage Discharge'!E$26:M$126,MATCH('Step 5 Routing'!F799,'Step 4 Stage Discharge'!E$26:E$126,1)+1,9)-INDEX('Step 4 Stage Discharge'!E$26:M$126,MATCH('Step 5 Routing'!F799,'Step 4 Stage Discharge'!E$26:E$126,1),9))*('Step 5 Routing'!F799-INDEX('Step 4 Stage Discharge'!E$26:M$126,MATCH('Step 5 Routing'!F799,'Step 4 Stage Discharge'!E$26:E$126,1),1))/(INDEX('Step 4 Stage Discharge'!E$26:M$126,MATCH('Step 5 Routing'!F799,'Step 4 Stage Discharge'!E$26:E$126,1)+1,1)-INDEX('Step 4 Stage Discharge'!E$26:M$126,MATCH('Step 5 Routing'!F799,'Step 4 Stage Discharge'!E$26:E$126,1),1))</f>
        <v>4.3639431710317386E-3</v>
      </c>
      <c r="J799" s="149"/>
      <c r="K799" s="6">
        <f t="shared" si="61"/>
        <v>0</v>
      </c>
      <c r="L799" s="6">
        <f t="shared" si="62"/>
        <v>0</v>
      </c>
    </row>
    <row r="800" spans="1:12">
      <c r="A800">
        <f t="shared" si="63"/>
        <v>787</v>
      </c>
      <c r="B800" s="136">
        <f>IF(C$5=Data!D$3,'Step 2 Inflow Hydrograph'!H844,IF(C$5=Data!D$4,'Step 2 Inflow Hydrograph'!I844,IF(C$5=Data!D$5,'Step 2 Inflow Hydrograph'!J844,'Step 2 Inflow Hydrograph'!K844)))</f>
        <v>0</v>
      </c>
      <c r="C800" s="127"/>
      <c r="D800" s="6">
        <f t="shared" si="60"/>
        <v>0</v>
      </c>
      <c r="E800" s="6"/>
      <c r="F800" s="6">
        <f t="shared" si="64"/>
        <v>0</v>
      </c>
      <c r="G800" s="149">
        <f>INDEX('Step 4 Stage Discharge'!E$26:F$126,MATCH(F800,'Step 4 Stage Discharge'!E$26:E$126,1),2)+(INDEX('Step 4 Stage Discharge'!E$26:F$126,MATCH(F800,'Step 4 Stage Discharge'!E$26:E$126,1)+1,2)-INDEX('Step 4 Stage Discharge'!E$26:F$126,MATCH(F800,'Step 4 Stage Discharge'!E$26:E$126,1),2))*(F800-INDEX('Step 4 Stage Discharge'!E$26:F$126,MATCH(F800,'Step 4 Stage Discharge'!E$26:E$126,1),1))/(INDEX('Step 4 Stage Discharge'!E$26:F$126,MATCH(F800,'Step 4 Stage Discharge'!E$26:E$126,1)+1,1)-INDEX('Step 4 Stage Discharge'!E$26:F$126,MATCH(F800,'Step 4 Stage Discharge'!E$26:E$126,1),1))</f>
        <v>0</v>
      </c>
      <c r="H800" s="149"/>
      <c r="I800" s="149">
        <f>INDEX('Step 4 Stage Discharge'!E$26:M$126,MATCH(F800,'Step 4 Stage Discharge'!E$26:E$126,1),9)+(INDEX('Step 4 Stage Discharge'!E$26:M$126,MATCH('Step 5 Routing'!F800,'Step 4 Stage Discharge'!E$26:E$126,1)+1,9)-INDEX('Step 4 Stage Discharge'!E$26:M$126,MATCH('Step 5 Routing'!F800,'Step 4 Stage Discharge'!E$26:E$126,1),9))*('Step 5 Routing'!F800-INDEX('Step 4 Stage Discharge'!E$26:M$126,MATCH('Step 5 Routing'!F800,'Step 4 Stage Discharge'!E$26:E$126,1),1))/(INDEX('Step 4 Stage Discharge'!E$26:M$126,MATCH('Step 5 Routing'!F800,'Step 4 Stage Discharge'!E$26:E$126,1)+1,1)-INDEX('Step 4 Stage Discharge'!E$26:M$126,MATCH('Step 5 Routing'!F800,'Step 4 Stage Discharge'!E$26:E$126,1),1))</f>
        <v>4.3639431710317386E-3</v>
      </c>
      <c r="J800" s="149"/>
      <c r="K800" s="6">
        <f t="shared" si="61"/>
        <v>0</v>
      </c>
      <c r="L800" s="6">
        <f t="shared" si="62"/>
        <v>0</v>
      </c>
    </row>
    <row r="801" spans="1:12">
      <c r="A801">
        <f t="shared" si="63"/>
        <v>788</v>
      </c>
      <c r="B801" s="136">
        <f>IF(C$5=Data!D$3,'Step 2 Inflow Hydrograph'!H845,IF(C$5=Data!D$4,'Step 2 Inflow Hydrograph'!I845,IF(C$5=Data!D$5,'Step 2 Inflow Hydrograph'!J845,'Step 2 Inflow Hydrograph'!K845)))</f>
        <v>0</v>
      </c>
      <c r="C801" s="127"/>
      <c r="D801" s="6">
        <f t="shared" si="60"/>
        <v>0</v>
      </c>
      <c r="E801" s="6"/>
      <c r="F801" s="6">
        <f t="shared" si="64"/>
        <v>0</v>
      </c>
      <c r="G801" s="149">
        <f>INDEX('Step 4 Stage Discharge'!E$26:F$126,MATCH(F801,'Step 4 Stage Discharge'!E$26:E$126,1),2)+(INDEX('Step 4 Stage Discharge'!E$26:F$126,MATCH(F801,'Step 4 Stage Discharge'!E$26:E$126,1)+1,2)-INDEX('Step 4 Stage Discharge'!E$26:F$126,MATCH(F801,'Step 4 Stage Discharge'!E$26:E$126,1),2))*(F801-INDEX('Step 4 Stage Discharge'!E$26:F$126,MATCH(F801,'Step 4 Stage Discharge'!E$26:E$126,1),1))/(INDEX('Step 4 Stage Discharge'!E$26:F$126,MATCH(F801,'Step 4 Stage Discharge'!E$26:E$126,1)+1,1)-INDEX('Step 4 Stage Discharge'!E$26:F$126,MATCH(F801,'Step 4 Stage Discharge'!E$26:E$126,1),1))</f>
        <v>0</v>
      </c>
      <c r="H801" s="149"/>
      <c r="I801" s="149">
        <f>INDEX('Step 4 Stage Discharge'!E$26:M$126,MATCH(F801,'Step 4 Stage Discharge'!E$26:E$126,1),9)+(INDEX('Step 4 Stage Discharge'!E$26:M$126,MATCH('Step 5 Routing'!F801,'Step 4 Stage Discharge'!E$26:E$126,1)+1,9)-INDEX('Step 4 Stage Discharge'!E$26:M$126,MATCH('Step 5 Routing'!F801,'Step 4 Stage Discharge'!E$26:E$126,1),9))*('Step 5 Routing'!F801-INDEX('Step 4 Stage Discharge'!E$26:M$126,MATCH('Step 5 Routing'!F801,'Step 4 Stage Discharge'!E$26:E$126,1),1))/(INDEX('Step 4 Stage Discharge'!E$26:M$126,MATCH('Step 5 Routing'!F801,'Step 4 Stage Discharge'!E$26:E$126,1)+1,1)-INDEX('Step 4 Stage Discharge'!E$26:M$126,MATCH('Step 5 Routing'!F801,'Step 4 Stage Discharge'!E$26:E$126,1),1))</f>
        <v>4.3639431710317386E-3</v>
      </c>
      <c r="J801" s="149"/>
      <c r="K801" s="6">
        <f t="shared" si="61"/>
        <v>0</v>
      </c>
      <c r="L801" s="6">
        <f t="shared" si="62"/>
        <v>0</v>
      </c>
    </row>
    <row r="802" spans="1:12">
      <c r="A802">
        <f t="shared" si="63"/>
        <v>789</v>
      </c>
      <c r="B802" s="136">
        <f>IF(C$5=Data!D$3,'Step 2 Inflow Hydrograph'!H846,IF(C$5=Data!D$4,'Step 2 Inflow Hydrograph'!I846,IF(C$5=Data!D$5,'Step 2 Inflow Hydrograph'!J846,'Step 2 Inflow Hydrograph'!K846)))</f>
        <v>0</v>
      </c>
      <c r="C802" s="127"/>
      <c r="D802" s="6">
        <f t="shared" si="60"/>
        <v>0</v>
      </c>
      <c r="E802" s="6"/>
      <c r="F802" s="6">
        <f t="shared" si="64"/>
        <v>0</v>
      </c>
      <c r="G802" s="149">
        <f>INDEX('Step 4 Stage Discharge'!E$26:F$126,MATCH(F802,'Step 4 Stage Discharge'!E$26:E$126,1),2)+(INDEX('Step 4 Stage Discharge'!E$26:F$126,MATCH(F802,'Step 4 Stage Discharge'!E$26:E$126,1)+1,2)-INDEX('Step 4 Stage Discharge'!E$26:F$126,MATCH(F802,'Step 4 Stage Discharge'!E$26:E$126,1),2))*(F802-INDEX('Step 4 Stage Discharge'!E$26:F$126,MATCH(F802,'Step 4 Stage Discharge'!E$26:E$126,1),1))/(INDEX('Step 4 Stage Discharge'!E$26:F$126,MATCH(F802,'Step 4 Stage Discharge'!E$26:E$126,1)+1,1)-INDEX('Step 4 Stage Discharge'!E$26:F$126,MATCH(F802,'Step 4 Stage Discharge'!E$26:E$126,1),1))</f>
        <v>0</v>
      </c>
      <c r="H802" s="149"/>
      <c r="I802" s="149">
        <f>INDEX('Step 4 Stage Discharge'!E$26:M$126,MATCH(F802,'Step 4 Stage Discharge'!E$26:E$126,1),9)+(INDEX('Step 4 Stage Discharge'!E$26:M$126,MATCH('Step 5 Routing'!F802,'Step 4 Stage Discharge'!E$26:E$126,1)+1,9)-INDEX('Step 4 Stage Discharge'!E$26:M$126,MATCH('Step 5 Routing'!F802,'Step 4 Stage Discharge'!E$26:E$126,1),9))*('Step 5 Routing'!F802-INDEX('Step 4 Stage Discharge'!E$26:M$126,MATCH('Step 5 Routing'!F802,'Step 4 Stage Discharge'!E$26:E$126,1),1))/(INDEX('Step 4 Stage Discharge'!E$26:M$126,MATCH('Step 5 Routing'!F802,'Step 4 Stage Discharge'!E$26:E$126,1)+1,1)-INDEX('Step 4 Stage Discharge'!E$26:M$126,MATCH('Step 5 Routing'!F802,'Step 4 Stage Discharge'!E$26:E$126,1),1))</f>
        <v>4.3639431710317386E-3</v>
      </c>
      <c r="J802" s="149"/>
      <c r="K802" s="6">
        <f t="shared" si="61"/>
        <v>0</v>
      </c>
      <c r="L802" s="6">
        <f t="shared" si="62"/>
        <v>0</v>
      </c>
    </row>
    <row r="803" spans="1:12">
      <c r="A803">
        <f t="shared" si="63"/>
        <v>790</v>
      </c>
      <c r="B803" s="136">
        <f>IF(C$5=Data!D$3,'Step 2 Inflow Hydrograph'!H847,IF(C$5=Data!D$4,'Step 2 Inflow Hydrograph'!I847,IF(C$5=Data!D$5,'Step 2 Inflow Hydrograph'!J847,'Step 2 Inflow Hydrograph'!K847)))</f>
        <v>0</v>
      </c>
      <c r="C803" s="127"/>
      <c r="D803" s="6">
        <f t="shared" si="60"/>
        <v>0</v>
      </c>
      <c r="E803" s="6"/>
      <c r="F803" s="6">
        <f t="shared" si="64"/>
        <v>0</v>
      </c>
      <c r="G803" s="149">
        <f>INDEX('Step 4 Stage Discharge'!E$26:F$126,MATCH(F803,'Step 4 Stage Discharge'!E$26:E$126,1),2)+(INDEX('Step 4 Stage Discharge'!E$26:F$126,MATCH(F803,'Step 4 Stage Discharge'!E$26:E$126,1)+1,2)-INDEX('Step 4 Stage Discharge'!E$26:F$126,MATCH(F803,'Step 4 Stage Discharge'!E$26:E$126,1),2))*(F803-INDEX('Step 4 Stage Discharge'!E$26:F$126,MATCH(F803,'Step 4 Stage Discharge'!E$26:E$126,1),1))/(INDEX('Step 4 Stage Discharge'!E$26:F$126,MATCH(F803,'Step 4 Stage Discharge'!E$26:E$126,1)+1,1)-INDEX('Step 4 Stage Discharge'!E$26:F$126,MATCH(F803,'Step 4 Stage Discharge'!E$26:E$126,1),1))</f>
        <v>0</v>
      </c>
      <c r="H803" s="149"/>
      <c r="I803" s="149">
        <f>INDEX('Step 4 Stage Discharge'!E$26:M$126,MATCH(F803,'Step 4 Stage Discharge'!E$26:E$126,1),9)+(INDEX('Step 4 Stage Discharge'!E$26:M$126,MATCH('Step 5 Routing'!F803,'Step 4 Stage Discharge'!E$26:E$126,1)+1,9)-INDEX('Step 4 Stage Discharge'!E$26:M$126,MATCH('Step 5 Routing'!F803,'Step 4 Stage Discharge'!E$26:E$126,1),9))*('Step 5 Routing'!F803-INDEX('Step 4 Stage Discharge'!E$26:M$126,MATCH('Step 5 Routing'!F803,'Step 4 Stage Discharge'!E$26:E$126,1),1))/(INDEX('Step 4 Stage Discharge'!E$26:M$126,MATCH('Step 5 Routing'!F803,'Step 4 Stage Discharge'!E$26:E$126,1)+1,1)-INDEX('Step 4 Stage Discharge'!E$26:M$126,MATCH('Step 5 Routing'!F803,'Step 4 Stage Discharge'!E$26:E$126,1),1))</f>
        <v>4.3639431710317386E-3</v>
      </c>
      <c r="J803" s="149"/>
      <c r="K803" s="6">
        <f t="shared" si="61"/>
        <v>0</v>
      </c>
      <c r="L803" s="6">
        <f t="shared" si="62"/>
        <v>0</v>
      </c>
    </row>
    <row r="804" spans="1:12">
      <c r="A804">
        <f t="shared" si="63"/>
        <v>791</v>
      </c>
      <c r="B804" s="136">
        <f>IF(C$5=Data!D$3,'Step 2 Inflow Hydrograph'!H848,IF(C$5=Data!D$4,'Step 2 Inflow Hydrograph'!I848,IF(C$5=Data!D$5,'Step 2 Inflow Hydrograph'!J848,'Step 2 Inflow Hydrograph'!K848)))</f>
        <v>0</v>
      </c>
      <c r="C804" s="127"/>
      <c r="D804" s="6">
        <f t="shared" si="60"/>
        <v>0</v>
      </c>
      <c r="E804" s="6"/>
      <c r="F804" s="6">
        <f t="shared" si="64"/>
        <v>0</v>
      </c>
      <c r="G804" s="149">
        <f>INDEX('Step 4 Stage Discharge'!E$26:F$126,MATCH(F804,'Step 4 Stage Discharge'!E$26:E$126,1),2)+(INDEX('Step 4 Stage Discharge'!E$26:F$126,MATCH(F804,'Step 4 Stage Discharge'!E$26:E$126,1)+1,2)-INDEX('Step 4 Stage Discharge'!E$26:F$126,MATCH(F804,'Step 4 Stage Discharge'!E$26:E$126,1),2))*(F804-INDEX('Step 4 Stage Discharge'!E$26:F$126,MATCH(F804,'Step 4 Stage Discharge'!E$26:E$126,1),1))/(INDEX('Step 4 Stage Discharge'!E$26:F$126,MATCH(F804,'Step 4 Stage Discharge'!E$26:E$126,1)+1,1)-INDEX('Step 4 Stage Discharge'!E$26:F$126,MATCH(F804,'Step 4 Stage Discharge'!E$26:E$126,1),1))</f>
        <v>0</v>
      </c>
      <c r="H804" s="149"/>
      <c r="I804" s="149">
        <f>INDEX('Step 4 Stage Discharge'!E$26:M$126,MATCH(F804,'Step 4 Stage Discharge'!E$26:E$126,1),9)+(INDEX('Step 4 Stage Discharge'!E$26:M$126,MATCH('Step 5 Routing'!F804,'Step 4 Stage Discharge'!E$26:E$126,1)+1,9)-INDEX('Step 4 Stage Discharge'!E$26:M$126,MATCH('Step 5 Routing'!F804,'Step 4 Stage Discharge'!E$26:E$126,1),9))*('Step 5 Routing'!F804-INDEX('Step 4 Stage Discharge'!E$26:M$126,MATCH('Step 5 Routing'!F804,'Step 4 Stage Discharge'!E$26:E$126,1),1))/(INDEX('Step 4 Stage Discharge'!E$26:M$126,MATCH('Step 5 Routing'!F804,'Step 4 Stage Discharge'!E$26:E$126,1)+1,1)-INDEX('Step 4 Stage Discharge'!E$26:M$126,MATCH('Step 5 Routing'!F804,'Step 4 Stage Discharge'!E$26:E$126,1),1))</f>
        <v>4.3639431710317386E-3</v>
      </c>
      <c r="J804" s="149"/>
      <c r="K804" s="6">
        <f t="shared" si="61"/>
        <v>0</v>
      </c>
      <c r="L804" s="6">
        <f t="shared" si="62"/>
        <v>0</v>
      </c>
    </row>
    <row r="805" spans="1:12">
      <c r="A805">
        <f t="shared" si="63"/>
        <v>792</v>
      </c>
      <c r="B805" s="136">
        <f>IF(C$5=Data!D$3,'Step 2 Inflow Hydrograph'!H849,IF(C$5=Data!D$4,'Step 2 Inflow Hydrograph'!I849,IF(C$5=Data!D$5,'Step 2 Inflow Hydrograph'!J849,'Step 2 Inflow Hydrograph'!K849)))</f>
        <v>0</v>
      </c>
      <c r="C805" s="127"/>
      <c r="D805" s="6">
        <f t="shared" si="60"/>
        <v>0</v>
      </c>
      <c r="E805" s="6"/>
      <c r="F805" s="6">
        <f t="shared" si="64"/>
        <v>0</v>
      </c>
      <c r="G805" s="149">
        <f>INDEX('Step 4 Stage Discharge'!E$26:F$126,MATCH(F805,'Step 4 Stage Discharge'!E$26:E$126,1),2)+(INDEX('Step 4 Stage Discharge'!E$26:F$126,MATCH(F805,'Step 4 Stage Discharge'!E$26:E$126,1)+1,2)-INDEX('Step 4 Stage Discharge'!E$26:F$126,MATCH(F805,'Step 4 Stage Discharge'!E$26:E$126,1),2))*(F805-INDEX('Step 4 Stage Discharge'!E$26:F$126,MATCH(F805,'Step 4 Stage Discharge'!E$26:E$126,1),1))/(INDEX('Step 4 Stage Discharge'!E$26:F$126,MATCH(F805,'Step 4 Stage Discharge'!E$26:E$126,1)+1,1)-INDEX('Step 4 Stage Discharge'!E$26:F$126,MATCH(F805,'Step 4 Stage Discharge'!E$26:E$126,1),1))</f>
        <v>0</v>
      </c>
      <c r="H805" s="149"/>
      <c r="I805" s="149">
        <f>INDEX('Step 4 Stage Discharge'!E$26:M$126,MATCH(F805,'Step 4 Stage Discharge'!E$26:E$126,1),9)+(INDEX('Step 4 Stage Discharge'!E$26:M$126,MATCH('Step 5 Routing'!F805,'Step 4 Stage Discharge'!E$26:E$126,1)+1,9)-INDEX('Step 4 Stage Discharge'!E$26:M$126,MATCH('Step 5 Routing'!F805,'Step 4 Stage Discharge'!E$26:E$126,1),9))*('Step 5 Routing'!F805-INDEX('Step 4 Stage Discharge'!E$26:M$126,MATCH('Step 5 Routing'!F805,'Step 4 Stage Discharge'!E$26:E$126,1),1))/(INDEX('Step 4 Stage Discharge'!E$26:M$126,MATCH('Step 5 Routing'!F805,'Step 4 Stage Discharge'!E$26:E$126,1)+1,1)-INDEX('Step 4 Stage Discharge'!E$26:M$126,MATCH('Step 5 Routing'!F805,'Step 4 Stage Discharge'!E$26:E$126,1),1))</f>
        <v>4.3639431710317386E-3</v>
      </c>
      <c r="J805" s="149"/>
      <c r="K805" s="6">
        <f t="shared" si="61"/>
        <v>0</v>
      </c>
      <c r="L805" s="6">
        <f t="shared" si="62"/>
        <v>0</v>
      </c>
    </row>
    <row r="806" spans="1:12">
      <c r="A806">
        <f t="shared" si="63"/>
        <v>793</v>
      </c>
      <c r="B806" s="136">
        <f>IF(C$5=Data!D$3,'Step 2 Inflow Hydrograph'!H850,IF(C$5=Data!D$4,'Step 2 Inflow Hydrograph'!I850,IF(C$5=Data!D$5,'Step 2 Inflow Hydrograph'!J850,'Step 2 Inflow Hydrograph'!K850)))</f>
        <v>0</v>
      </c>
      <c r="C806" s="127"/>
      <c r="D806" s="6">
        <f t="shared" si="60"/>
        <v>0</v>
      </c>
      <c r="E806" s="6"/>
      <c r="F806" s="6">
        <f t="shared" si="64"/>
        <v>0</v>
      </c>
      <c r="G806" s="149">
        <f>INDEX('Step 4 Stage Discharge'!E$26:F$126,MATCH(F806,'Step 4 Stage Discharge'!E$26:E$126,1),2)+(INDEX('Step 4 Stage Discharge'!E$26:F$126,MATCH(F806,'Step 4 Stage Discharge'!E$26:E$126,1)+1,2)-INDEX('Step 4 Stage Discharge'!E$26:F$126,MATCH(F806,'Step 4 Stage Discharge'!E$26:E$126,1),2))*(F806-INDEX('Step 4 Stage Discharge'!E$26:F$126,MATCH(F806,'Step 4 Stage Discharge'!E$26:E$126,1),1))/(INDEX('Step 4 Stage Discharge'!E$26:F$126,MATCH(F806,'Step 4 Stage Discharge'!E$26:E$126,1)+1,1)-INDEX('Step 4 Stage Discharge'!E$26:F$126,MATCH(F806,'Step 4 Stage Discharge'!E$26:E$126,1),1))</f>
        <v>0</v>
      </c>
      <c r="H806" s="149"/>
      <c r="I806" s="149">
        <f>INDEX('Step 4 Stage Discharge'!E$26:M$126,MATCH(F806,'Step 4 Stage Discharge'!E$26:E$126,1),9)+(INDEX('Step 4 Stage Discharge'!E$26:M$126,MATCH('Step 5 Routing'!F806,'Step 4 Stage Discharge'!E$26:E$126,1)+1,9)-INDEX('Step 4 Stage Discharge'!E$26:M$126,MATCH('Step 5 Routing'!F806,'Step 4 Stage Discharge'!E$26:E$126,1),9))*('Step 5 Routing'!F806-INDEX('Step 4 Stage Discharge'!E$26:M$126,MATCH('Step 5 Routing'!F806,'Step 4 Stage Discharge'!E$26:E$126,1),1))/(INDEX('Step 4 Stage Discharge'!E$26:M$126,MATCH('Step 5 Routing'!F806,'Step 4 Stage Discharge'!E$26:E$126,1)+1,1)-INDEX('Step 4 Stage Discharge'!E$26:M$126,MATCH('Step 5 Routing'!F806,'Step 4 Stage Discharge'!E$26:E$126,1),1))</f>
        <v>4.3639431710317386E-3</v>
      </c>
      <c r="J806" s="149"/>
      <c r="K806" s="6">
        <f t="shared" si="61"/>
        <v>0</v>
      </c>
      <c r="L806" s="6">
        <f t="shared" si="62"/>
        <v>0</v>
      </c>
    </row>
    <row r="807" spans="1:12">
      <c r="A807">
        <f t="shared" si="63"/>
        <v>794</v>
      </c>
      <c r="B807" s="136">
        <f>IF(C$5=Data!D$3,'Step 2 Inflow Hydrograph'!H851,IF(C$5=Data!D$4,'Step 2 Inflow Hydrograph'!I851,IF(C$5=Data!D$5,'Step 2 Inflow Hydrograph'!J851,'Step 2 Inflow Hydrograph'!K851)))</f>
        <v>0</v>
      </c>
      <c r="C807" s="127"/>
      <c r="D807" s="6">
        <f t="shared" si="60"/>
        <v>0</v>
      </c>
      <c r="E807" s="6"/>
      <c r="F807" s="6">
        <f t="shared" si="64"/>
        <v>0</v>
      </c>
      <c r="G807" s="149">
        <f>INDEX('Step 4 Stage Discharge'!E$26:F$126,MATCH(F807,'Step 4 Stage Discharge'!E$26:E$126,1),2)+(INDEX('Step 4 Stage Discharge'!E$26:F$126,MATCH(F807,'Step 4 Stage Discharge'!E$26:E$126,1)+1,2)-INDEX('Step 4 Stage Discharge'!E$26:F$126,MATCH(F807,'Step 4 Stage Discharge'!E$26:E$126,1),2))*(F807-INDEX('Step 4 Stage Discharge'!E$26:F$126,MATCH(F807,'Step 4 Stage Discharge'!E$26:E$126,1),1))/(INDEX('Step 4 Stage Discharge'!E$26:F$126,MATCH(F807,'Step 4 Stage Discharge'!E$26:E$126,1)+1,1)-INDEX('Step 4 Stage Discharge'!E$26:F$126,MATCH(F807,'Step 4 Stage Discharge'!E$26:E$126,1),1))</f>
        <v>0</v>
      </c>
      <c r="H807" s="149"/>
      <c r="I807" s="149">
        <f>INDEX('Step 4 Stage Discharge'!E$26:M$126,MATCH(F807,'Step 4 Stage Discharge'!E$26:E$126,1),9)+(INDEX('Step 4 Stage Discharge'!E$26:M$126,MATCH('Step 5 Routing'!F807,'Step 4 Stage Discharge'!E$26:E$126,1)+1,9)-INDEX('Step 4 Stage Discharge'!E$26:M$126,MATCH('Step 5 Routing'!F807,'Step 4 Stage Discharge'!E$26:E$126,1),9))*('Step 5 Routing'!F807-INDEX('Step 4 Stage Discharge'!E$26:M$126,MATCH('Step 5 Routing'!F807,'Step 4 Stage Discharge'!E$26:E$126,1),1))/(INDEX('Step 4 Stage Discharge'!E$26:M$126,MATCH('Step 5 Routing'!F807,'Step 4 Stage Discharge'!E$26:E$126,1)+1,1)-INDEX('Step 4 Stage Discharge'!E$26:M$126,MATCH('Step 5 Routing'!F807,'Step 4 Stage Discharge'!E$26:E$126,1),1))</f>
        <v>4.3639431710317386E-3</v>
      </c>
      <c r="J807" s="149"/>
      <c r="K807" s="6">
        <f t="shared" si="61"/>
        <v>0</v>
      </c>
      <c r="L807" s="6">
        <f t="shared" si="62"/>
        <v>0</v>
      </c>
    </row>
    <row r="808" spans="1:12">
      <c r="A808">
        <f t="shared" si="63"/>
        <v>795</v>
      </c>
      <c r="B808" s="136">
        <f>IF(C$5=Data!D$3,'Step 2 Inflow Hydrograph'!H852,IF(C$5=Data!D$4,'Step 2 Inflow Hydrograph'!I852,IF(C$5=Data!D$5,'Step 2 Inflow Hydrograph'!J852,'Step 2 Inflow Hydrograph'!K852)))</f>
        <v>0</v>
      </c>
      <c r="C808" s="127"/>
      <c r="D808" s="6">
        <f t="shared" si="60"/>
        <v>0</v>
      </c>
      <c r="E808" s="6"/>
      <c r="F808" s="6">
        <f t="shared" si="64"/>
        <v>0</v>
      </c>
      <c r="G808" s="149">
        <f>INDEX('Step 4 Stage Discharge'!E$26:F$126,MATCH(F808,'Step 4 Stage Discharge'!E$26:E$126,1),2)+(INDEX('Step 4 Stage Discharge'!E$26:F$126,MATCH(F808,'Step 4 Stage Discharge'!E$26:E$126,1)+1,2)-INDEX('Step 4 Stage Discharge'!E$26:F$126,MATCH(F808,'Step 4 Stage Discharge'!E$26:E$126,1),2))*(F808-INDEX('Step 4 Stage Discharge'!E$26:F$126,MATCH(F808,'Step 4 Stage Discharge'!E$26:E$126,1),1))/(INDEX('Step 4 Stage Discharge'!E$26:F$126,MATCH(F808,'Step 4 Stage Discharge'!E$26:E$126,1)+1,1)-INDEX('Step 4 Stage Discharge'!E$26:F$126,MATCH(F808,'Step 4 Stage Discharge'!E$26:E$126,1),1))</f>
        <v>0</v>
      </c>
      <c r="H808" s="149"/>
      <c r="I808" s="149">
        <f>INDEX('Step 4 Stage Discharge'!E$26:M$126,MATCH(F808,'Step 4 Stage Discharge'!E$26:E$126,1),9)+(INDEX('Step 4 Stage Discharge'!E$26:M$126,MATCH('Step 5 Routing'!F808,'Step 4 Stage Discharge'!E$26:E$126,1)+1,9)-INDEX('Step 4 Stage Discharge'!E$26:M$126,MATCH('Step 5 Routing'!F808,'Step 4 Stage Discharge'!E$26:E$126,1),9))*('Step 5 Routing'!F808-INDEX('Step 4 Stage Discharge'!E$26:M$126,MATCH('Step 5 Routing'!F808,'Step 4 Stage Discharge'!E$26:E$126,1),1))/(INDEX('Step 4 Stage Discharge'!E$26:M$126,MATCH('Step 5 Routing'!F808,'Step 4 Stage Discharge'!E$26:E$126,1)+1,1)-INDEX('Step 4 Stage Discharge'!E$26:M$126,MATCH('Step 5 Routing'!F808,'Step 4 Stage Discharge'!E$26:E$126,1),1))</f>
        <v>4.3639431710317386E-3</v>
      </c>
      <c r="J808" s="149"/>
      <c r="K808" s="6">
        <f t="shared" si="61"/>
        <v>0</v>
      </c>
      <c r="L808" s="6">
        <f t="shared" si="62"/>
        <v>0</v>
      </c>
    </row>
    <row r="809" spans="1:12">
      <c r="A809">
        <f t="shared" si="63"/>
        <v>796</v>
      </c>
      <c r="B809" s="136">
        <f>IF(C$5=Data!D$3,'Step 2 Inflow Hydrograph'!H853,IF(C$5=Data!D$4,'Step 2 Inflow Hydrograph'!I853,IF(C$5=Data!D$5,'Step 2 Inflow Hydrograph'!J853,'Step 2 Inflow Hydrograph'!K853)))</f>
        <v>0</v>
      </c>
      <c r="C809" s="127"/>
      <c r="D809" s="6">
        <f t="shared" si="60"/>
        <v>0</v>
      </c>
      <c r="E809" s="6"/>
      <c r="F809" s="6">
        <f t="shared" si="64"/>
        <v>0</v>
      </c>
      <c r="G809" s="149">
        <f>INDEX('Step 4 Stage Discharge'!E$26:F$126,MATCH(F809,'Step 4 Stage Discharge'!E$26:E$126,1),2)+(INDEX('Step 4 Stage Discharge'!E$26:F$126,MATCH(F809,'Step 4 Stage Discharge'!E$26:E$126,1)+1,2)-INDEX('Step 4 Stage Discharge'!E$26:F$126,MATCH(F809,'Step 4 Stage Discharge'!E$26:E$126,1),2))*(F809-INDEX('Step 4 Stage Discharge'!E$26:F$126,MATCH(F809,'Step 4 Stage Discharge'!E$26:E$126,1),1))/(INDEX('Step 4 Stage Discharge'!E$26:F$126,MATCH(F809,'Step 4 Stage Discharge'!E$26:E$126,1)+1,1)-INDEX('Step 4 Stage Discharge'!E$26:F$126,MATCH(F809,'Step 4 Stage Discharge'!E$26:E$126,1),1))</f>
        <v>0</v>
      </c>
      <c r="H809" s="149"/>
      <c r="I809" s="149">
        <f>INDEX('Step 4 Stage Discharge'!E$26:M$126,MATCH(F809,'Step 4 Stage Discharge'!E$26:E$126,1),9)+(INDEX('Step 4 Stage Discharge'!E$26:M$126,MATCH('Step 5 Routing'!F809,'Step 4 Stage Discharge'!E$26:E$126,1)+1,9)-INDEX('Step 4 Stage Discharge'!E$26:M$126,MATCH('Step 5 Routing'!F809,'Step 4 Stage Discharge'!E$26:E$126,1),9))*('Step 5 Routing'!F809-INDEX('Step 4 Stage Discharge'!E$26:M$126,MATCH('Step 5 Routing'!F809,'Step 4 Stage Discharge'!E$26:E$126,1),1))/(INDEX('Step 4 Stage Discharge'!E$26:M$126,MATCH('Step 5 Routing'!F809,'Step 4 Stage Discharge'!E$26:E$126,1)+1,1)-INDEX('Step 4 Stage Discharge'!E$26:M$126,MATCH('Step 5 Routing'!F809,'Step 4 Stage Discharge'!E$26:E$126,1),1))</f>
        <v>4.3639431710317386E-3</v>
      </c>
      <c r="J809" s="149"/>
      <c r="K809" s="6">
        <f t="shared" si="61"/>
        <v>0</v>
      </c>
      <c r="L809" s="6">
        <f t="shared" si="62"/>
        <v>0</v>
      </c>
    </row>
    <row r="810" spans="1:12">
      <c r="A810">
        <f t="shared" si="63"/>
        <v>797</v>
      </c>
      <c r="B810" s="136">
        <f>IF(C$5=Data!D$3,'Step 2 Inflow Hydrograph'!H854,IF(C$5=Data!D$4,'Step 2 Inflow Hydrograph'!I854,IF(C$5=Data!D$5,'Step 2 Inflow Hydrograph'!J854,'Step 2 Inflow Hydrograph'!K854)))</f>
        <v>0</v>
      </c>
      <c r="C810" s="127"/>
      <c r="D810" s="6">
        <f t="shared" si="60"/>
        <v>0</v>
      </c>
      <c r="E810" s="6"/>
      <c r="F810" s="6">
        <f t="shared" si="64"/>
        <v>0</v>
      </c>
      <c r="G810" s="149">
        <f>INDEX('Step 4 Stage Discharge'!E$26:F$126,MATCH(F810,'Step 4 Stage Discharge'!E$26:E$126,1),2)+(INDEX('Step 4 Stage Discharge'!E$26:F$126,MATCH(F810,'Step 4 Stage Discharge'!E$26:E$126,1)+1,2)-INDEX('Step 4 Stage Discharge'!E$26:F$126,MATCH(F810,'Step 4 Stage Discharge'!E$26:E$126,1),2))*(F810-INDEX('Step 4 Stage Discharge'!E$26:F$126,MATCH(F810,'Step 4 Stage Discharge'!E$26:E$126,1),1))/(INDEX('Step 4 Stage Discharge'!E$26:F$126,MATCH(F810,'Step 4 Stage Discharge'!E$26:E$126,1)+1,1)-INDEX('Step 4 Stage Discharge'!E$26:F$126,MATCH(F810,'Step 4 Stage Discharge'!E$26:E$126,1),1))</f>
        <v>0</v>
      </c>
      <c r="H810" s="149"/>
      <c r="I810" s="149">
        <f>INDEX('Step 4 Stage Discharge'!E$26:M$126,MATCH(F810,'Step 4 Stage Discharge'!E$26:E$126,1),9)+(INDEX('Step 4 Stage Discharge'!E$26:M$126,MATCH('Step 5 Routing'!F810,'Step 4 Stage Discharge'!E$26:E$126,1)+1,9)-INDEX('Step 4 Stage Discharge'!E$26:M$126,MATCH('Step 5 Routing'!F810,'Step 4 Stage Discharge'!E$26:E$126,1),9))*('Step 5 Routing'!F810-INDEX('Step 4 Stage Discharge'!E$26:M$126,MATCH('Step 5 Routing'!F810,'Step 4 Stage Discharge'!E$26:E$126,1),1))/(INDEX('Step 4 Stage Discharge'!E$26:M$126,MATCH('Step 5 Routing'!F810,'Step 4 Stage Discharge'!E$26:E$126,1)+1,1)-INDEX('Step 4 Stage Discharge'!E$26:M$126,MATCH('Step 5 Routing'!F810,'Step 4 Stage Discharge'!E$26:E$126,1),1))</f>
        <v>4.3639431710317386E-3</v>
      </c>
      <c r="J810" s="149"/>
      <c r="K810" s="6">
        <f t="shared" si="61"/>
        <v>0</v>
      </c>
      <c r="L810" s="6">
        <f t="shared" si="62"/>
        <v>0</v>
      </c>
    </row>
    <row r="811" spans="1:12">
      <c r="A811">
        <f t="shared" si="63"/>
        <v>798</v>
      </c>
      <c r="B811" s="136">
        <f>IF(C$5=Data!D$3,'Step 2 Inflow Hydrograph'!H855,IF(C$5=Data!D$4,'Step 2 Inflow Hydrograph'!I855,IF(C$5=Data!D$5,'Step 2 Inflow Hydrograph'!J855,'Step 2 Inflow Hydrograph'!K855)))</f>
        <v>0</v>
      </c>
      <c r="C811" s="127"/>
      <c r="D811" s="6">
        <f t="shared" si="60"/>
        <v>0</v>
      </c>
      <c r="E811" s="6"/>
      <c r="F811" s="6">
        <f t="shared" si="64"/>
        <v>0</v>
      </c>
      <c r="G811" s="149">
        <f>INDEX('Step 4 Stage Discharge'!E$26:F$126,MATCH(F811,'Step 4 Stage Discharge'!E$26:E$126,1),2)+(INDEX('Step 4 Stage Discharge'!E$26:F$126,MATCH(F811,'Step 4 Stage Discharge'!E$26:E$126,1)+1,2)-INDEX('Step 4 Stage Discharge'!E$26:F$126,MATCH(F811,'Step 4 Stage Discharge'!E$26:E$126,1),2))*(F811-INDEX('Step 4 Stage Discharge'!E$26:F$126,MATCH(F811,'Step 4 Stage Discharge'!E$26:E$126,1),1))/(INDEX('Step 4 Stage Discharge'!E$26:F$126,MATCH(F811,'Step 4 Stage Discharge'!E$26:E$126,1)+1,1)-INDEX('Step 4 Stage Discharge'!E$26:F$126,MATCH(F811,'Step 4 Stage Discharge'!E$26:E$126,1),1))</f>
        <v>0</v>
      </c>
      <c r="H811" s="149"/>
      <c r="I811" s="149">
        <f>INDEX('Step 4 Stage Discharge'!E$26:M$126,MATCH(F811,'Step 4 Stage Discharge'!E$26:E$126,1),9)+(INDEX('Step 4 Stage Discharge'!E$26:M$126,MATCH('Step 5 Routing'!F811,'Step 4 Stage Discharge'!E$26:E$126,1)+1,9)-INDEX('Step 4 Stage Discharge'!E$26:M$126,MATCH('Step 5 Routing'!F811,'Step 4 Stage Discharge'!E$26:E$126,1),9))*('Step 5 Routing'!F811-INDEX('Step 4 Stage Discharge'!E$26:M$126,MATCH('Step 5 Routing'!F811,'Step 4 Stage Discharge'!E$26:E$126,1),1))/(INDEX('Step 4 Stage Discharge'!E$26:M$126,MATCH('Step 5 Routing'!F811,'Step 4 Stage Discharge'!E$26:E$126,1)+1,1)-INDEX('Step 4 Stage Discharge'!E$26:M$126,MATCH('Step 5 Routing'!F811,'Step 4 Stage Discharge'!E$26:E$126,1),1))</f>
        <v>4.3639431710317386E-3</v>
      </c>
      <c r="J811" s="149"/>
      <c r="K811" s="6">
        <f t="shared" si="61"/>
        <v>0</v>
      </c>
      <c r="L811" s="6">
        <f t="shared" si="62"/>
        <v>0</v>
      </c>
    </row>
    <row r="812" spans="1:12">
      <c r="A812">
        <f t="shared" si="63"/>
        <v>799</v>
      </c>
      <c r="B812" s="136">
        <f>IF(C$5=Data!D$3,'Step 2 Inflow Hydrograph'!H856,IF(C$5=Data!D$4,'Step 2 Inflow Hydrograph'!I856,IF(C$5=Data!D$5,'Step 2 Inflow Hydrograph'!J856,'Step 2 Inflow Hydrograph'!K856)))</f>
        <v>0</v>
      </c>
      <c r="C812" s="127"/>
      <c r="D812" s="6">
        <f t="shared" si="60"/>
        <v>0</v>
      </c>
      <c r="E812" s="6"/>
      <c r="F812" s="6">
        <f t="shared" si="64"/>
        <v>0</v>
      </c>
      <c r="G812" s="149">
        <f>INDEX('Step 4 Stage Discharge'!E$26:F$126,MATCH(F812,'Step 4 Stage Discharge'!E$26:E$126,1),2)+(INDEX('Step 4 Stage Discharge'!E$26:F$126,MATCH(F812,'Step 4 Stage Discharge'!E$26:E$126,1)+1,2)-INDEX('Step 4 Stage Discharge'!E$26:F$126,MATCH(F812,'Step 4 Stage Discharge'!E$26:E$126,1),2))*(F812-INDEX('Step 4 Stage Discharge'!E$26:F$126,MATCH(F812,'Step 4 Stage Discharge'!E$26:E$126,1),1))/(INDEX('Step 4 Stage Discharge'!E$26:F$126,MATCH(F812,'Step 4 Stage Discharge'!E$26:E$126,1)+1,1)-INDEX('Step 4 Stage Discharge'!E$26:F$126,MATCH(F812,'Step 4 Stage Discharge'!E$26:E$126,1),1))</f>
        <v>0</v>
      </c>
      <c r="H812" s="149"/>
      <c r="I812" s="149">
        <f>INDEX('Step 4 Stage Discharge'!E$26:M$126,MATCH(F812,'Step 4 Stage Discharge'!E$26:E$126,1),9)+(INDEX('Step 4 Stage Discharge'!E$26:M$126,MATCH('Step 5 Routing'!F812,'Step 4 Stage Discharge'!E$26:E$126,1)+1,9)-INDEX('Step 4 Stage Discharge'!E$26:M$126,MATCH('Step 5 Routing'!F812,'Step 4 Stage Discharge'!E$26:E$126,1),9))*('Step 5 Routing'!F812-INDEX('Step 4 Stage Discharge'!E$26:M$126,MATCH('Step 5 Routing'!F812,'Step 4 Stage Discharge'!E$26:E$126,1),1))/(INDEX('Step 4 Stage Discharge'!E$26:M$126,MATCH('Step 5 Routing'!F812,'Step 4 Stage Discharge'!E$26:E$126,1)+1,1)-INDEX('Step 4 Stage Discharge'!E$26:M$126,MATCH('Step 5 Routing'!F812,'Step 4 Stage Discharge'!E$26:E$126,1),1))</f>
        <v>4.3639431710317386E-3</v>
      </c>
      <c r="J812" s="149"/>
      <c r="K812" s="6">
        <f t="shared" si="61"/>
        <v>0</v>
      </c>
      <c r="L812" s="6">
        <f t="shared" si="62"/>
        <v>0</v>
      </c>
    </row>
    <row r="813" spans="1:12">
      <c r="A813">
        <f t="shared" si="63"/>
        <v>800</v>
      </c>
      <c r="B813" s="136">
        <f>IF(C$5=Data!D$3,'Step 2 Inflow Hydrograph'!H857,IF(C$5=Data!D$4,'Step 2 Inflow Hydrograph'!I857,IF(C$5=Data!D$5,'Step 2 Inflow Hydrograph'!J857,'Step 2 Inflow Hydrograph'!K857)))</f>
        <v>0</v>
      </c>
      <c r="C813" s="127"/>
      <c r="D813" s="6">
        <f t="shared" si="60"/>
        <v>0</v>
      </c>
      <c r="E813" s="6"/>
      <c r="F813" s="6">
        <f t="shared" si="64"/>
        <v>0</v>
      </c>
      <c r="G813" s="149">
        <f>INDEX('Step 4 Stage Discharge'!E$26:F$126,MATCH(F813,'Step 4 Stage Discharge'!E$26:E$126,1),2)+(INDEX('Step 4 Stage Discharge'!E$26:F$126,MATCH(F813,'Step 4 Stage Discharge'!E$26:E$126,1)+1,2)-INDEX('Step 4 Stage Discharge'!E$26:F$126,MATCH(F813,'Step 4 Stage Discharge'!E$26:E$126,1),2))*(F813-INDEX('Step 4 Stage Discharge'!E$26:F$126,MATCH(F813,'Step 4 Stage Discharge'!E$26:E$126,1),1))/(INDEX('Step 4 Stage Discharge'!E$26:F$126,MATCH(F813,'Step 4 Stage Discharge'!E$26:E$126,1)+1,1)-INDEX('Step 4 Stage Discharge'!E$26:F$126,MATCH(F813,'Step 4 Stage Discharge'!E$26:E$126,1),1))</f>
        <v>0</v>
      </c>
      <c r="H813" s="149"/>
      <c r="I813" s="149">
        <f>INDEX('Step 4 Stage Discharge'!E$26:M$126,MATCH(F813,'Step 4 Stage Discharge'!E$26:E$126,1),9)+(INDEX('Step 4 Stage Discharge'!E$26:M$126,MATCH('Step 5 Routing'!F813,'Step 4 Stage Discharge'!E$26:E$126,1)+1,9)-INDEX('Step 4 Stage Discharge'!E$26:M$126,MATCH('Step 5 Routing'!F813,'Step 4 Stage Discharge'!E$26:E$126,1),9))*('Step 5 Routing'!F813-INDEX('Step 4 Stage Discharge'!E$26:M$126,MATCH('Step 5 Routing'!F813,'Step 4 Stage Discharge'!E$26:E$126,1),1))/(INDEX('Step 4 Stage Discharge'!E$26:M$126,MATCH('Step 5 Routing'!F813,'Step 4 Stage Discharge'!E$26:E$126,1)+1,1)-INDEX('Step 4 Stage Discharge'!E$26:M$126,MATCH('Step 5 Routing'!F813,'Step 4 Stage Discharge'!E$26:E$126,1),1))</f>
        <v>4.3639431710317386E-3</v>
      </c>
      <c r="J813" s="149"/>
      <c r="K813" s="6">
        <f t="shared" si="61"/>
        <v>0</v>
      </c>
      <c r="L813" s="6">
        <f t="shared" si="62"/>
        <v>0</v>
      </c>
    </row>
    <row r="814" spans="1:12">
      <c r="A814">
        <f t="shared" si="63"/>
        <v>801</v>
      </c>
      <c r="B814" s="136">
        <f>IF(C$5=Data!D$3,'Step 2 Inflow Hydrograph'!H858,IF(C$5=Data!D$4,'Step 2 Inflow Hydrograph'!I858,IF(C$5=Data!D$5,'Step 2 Inflow Hydrograph'!J858,'Step 2 Inflow Hydrograph'!K858)))</f>
        <v>0</v>
      </c>
      <c r="C814" s="127"/>
      <c r="D814" s="6">
        <f t="shared" si="60"/>
        <v>0</v>
      </c>
      <c r="E814" s="6"/>
      <c r="F814" s="6">
        <f t="shared" si="64"/>
        <v>0</v>
      </c>
      <c r="G814" s="149">
        <f>INDEX('Step 4 Stage Discharge'!E$26:F$126,MATCH(F814,'Step 4 Stage Discharge'!E$26:E$126,1),2)+(INDEX('Step 4 Stage Discharge'!E$26:F$126,MATCH(F814,'Step 4 Stage Discharge'!E$26:E$126,1)+1,2)-INDEX('Step 4 Stage Discharge'!E$26:F$126,MATCH(F814,'Step 4 Stage Discharge'!E$26:E$126,1),2))*(F814-INDEX('Step 4 Stage Discharge'!E$26:F$126,MATCH(F814,'Step 4 Stage Discharge'!E$26:E$126,1),1))/(INDEX('Step 4 Stage Discharge'!E$26:F$126,MATCH(F814,'Step 4 Stage Discharge'!E$26:E$126,1)+1,1)-INDEX('Step 4 Stage Discharge'!E$26:F$126,MATCH(F814,'Step 4 Stage Discharge'!E$26:E$126,1),1))</f>
        <v>0</v>
      </c>
      <c r="H814" s="149"/>
      <c r="I814" s="149">
        <f>INDEX('Step 4 Stage Discharge'!E$26:M$126,MATCH(F814,'Step 4 Stage Discharge'!E$26:E$126,1),9)+(INDEX('Step 4 Stage Discharge'!E$26:M$126,MATCH('Step 5 Routing'!F814,'Step 4 Stage Discharge'!E$26:E$126,1)+1,9)-INDEX('Step 4 Stage Discharge'!E$26:M$126,MATCH('Step 5 Routing'!F814,'Step 4 Stage Discharge'!E$26:E$126,1),9))*('Step 5 Routing'!F814-INDEX('Step 4 Stage Discharge'!E$26:M$126,MATCH('Step 5 Routing'!F814,'Step 4 Stage Discharge'!E$26:E$126,1),1))/(INDEX('Step 4 Stage Discharge'!E$26:M$126,MATCH('Step 5 Routing'!F814,'Step 4 Stage Discharge'!E$26:E$126,1)+1,1)-INDEX('Step 4 Stage Discharge'!E$26:M$126,MATCH('Step 5 Routing'!F814,'Step 4 Stage Discharge'!E$26:E$126,1),1))</f>
        <v>4.3639431710317386E-3</v>
      </c>
      <c r="J814" s="149"/>
      <c r="K814" s="6">
        <f t="shared" si="61"/>
        <v>0</v>
      </c>
      <c r="L814" s="6">
        <f t="shared" si="62"/>
        <v>0</v>
      </c>
    </row>
    <row r="815" spans="1:12">
      <c r="A815">
        <f t="shared" si="63"/>
        <v>802</v>
      </c>
      <c r="B815" s="136">
        <f>IF(C$5=Data!D$3,'Step 2 Inflow Hydrograph'!H859,IF(C$5=Data!D$4,'Step 2 Inflow Hydrograph'!I859,IF(C$5=Data!D$5,'Step 2 Inflow Hydrograph'!J859,'Step 2 Inflow Hydrograph'!K859)))</f>
        <v>0</v>
      </c>
      <c r="C815" s="127"/>
      <c r="D815" s="6">
        <f t="shared" si="60"/>
        <v>0</v>
      </c>
      <c r="E815" s="6"/>
      <c r="F815" s="6">
        <f t="shared" si="64"/>
        <v>0</v>
      </c>
      <c r="G815" s="149">
        <f>INDEX('Step 4 Stage Discharge'!E$26:F$126,MATCH(F815,'Step 4 Stage Discharge'!E$26:E$126,1),2)+(INDEX('Step 4 Stage Discharge'!E$26:F$126,MATCH(F815,'Step 4 Stage Discharge'!E$26:E$126,1)+1,2)-INDEX('Step 4 Stage Discharge'!E$26:F$126,MATCH(F815,'Step 4 Stage Discharge'!E$26:E$126,1),2))*(F815-INDEX('Step 4 Stage Discharge'!E$26:F$126,MATCH(F815,'Step 4 Stage Discharge'!E$26:E$126,1),1))/(INDEX('Step 4 Stage Discharge'!E$26:F$126,MATCH(F815,'Step 4 Stage Discharge'!E$26:E$126,1)+1,1)-INDEX('Step 4 Stage Discharge'!E$26:F$126,MATCH(F815,'Step 4 Stage Discharge'!E$26:E$126,1),1))</f>
        <v>0</v>
      </c>
      <c r="H815" s="149"/>
      <c r="I815" s="149">
        <f>INDEX('Step 4 Stage Discharge'!E$26:M$126,MATCH(F815,'Step 4 Stage Discharge'!E$26:E$126,1),9)+(INDEX('Step 4 Stage Discharge'!E$26:M$126,MATCH('Step 5 Routing'!F815,'Step 4 Stage Discharge'!E$26:E$126,1)+1,9)-INDEX('Step 4 Stage Discharge'!E$26:M$126,MATCH('Step 5 Routing'!F815,'Step 4 Stage Discharge'!E$26:E$126,1),9))*('Step 5 Routing'!F815-INDEX('Step 4 Stage Discharge'!E$26:M$126,MATCH('Step 5 Routing'!F815,'Step 4 Stage Discharge'!E$26:E$126,1),1))/(INDEX('Step 4 Stage Discharge'!E$26:M$126,MATCH('Step 5 Routing'!F815,'Step 4 Stage Discharge'!E$26:E$126,1)+1,1)-INDEX('Step 4 Stage Discharge'!E$26:M$126,MATCH('Step 5 Routing'!F815,'Step 4 Stage Discharge'!E$26:E$126,1),1))</f>
        <v>4.3639431710317386E-3</v>
      </c>
      <c r="J815" s="149"/>
      <c r="K815" s="6">
        <f t="shared" si="61"/>
        <v>0</v>
      </c>
      <c r="L815" s="6">
        <f t="shared" si="62"/>
        <v>0</v>
      </c>
    </row>
    <row r="816" spans="1:12">
      <c r="A816">
        <f t="shared" si="63"/>
        <v>803</v>
      </c>
      <c r="B816" s="136">
        <f>IF(C$5=Data!D$3,'Step 2 Inflow Hydrograph'!H860,IF(C$5=Data!D$4,'Step 2 Inflow Hydrograph'!I860,IF(C$5=Data!D$5,'Step 2 Inflow Hydrograph'!J860,'Step 2 Inflow Hydrograph'!K860)))</f>
        <v>0</v>
      </c>
      <c r="C816" s="127"/>
      <c r="D816" s="6">
        <f t="shared" si="60"/>
        <v>0</v>
      </c>
      <c r="E816" s="6"/>
      <c r="F816" s="6">
        <f t="shared" si="64"/>
        <v>0</v>
      </c>
      <c r="G816" s="149">
        <f>INDEX('Step 4 Stage Discharge'!E$26:F$126,MATCH(F816,'Step 4 Stage Discharge'!E$26:E$126,1),2)+(INDEX('Step 4 Stage Discharge'!E$26:F$126,MATCH(F816,'Step 4 Stage Discharge'!E$26:E$126,1)+1,2)-INDEX('Step 4 Stage Discharge'!E$26:F$126,MATCH(F816,'Step 4 Stage Discharge'!E$26:E$126,1),2))*(F816-INDEX('Step 4 Stage Discharge'!E$26:F$126,MATCH(F816,'Step 4 Stage Discharge'!E$26:E$126,1),1))/(INDEX('Step 4 Stage Discharge'!E$26:F$126,MATCH(F816,'Step 4 Stage Discharge'!E$26:E$126,1)+1,1)-INDEX('Step 4 Stage Discharge'!E$26:F$126,MATCH(F816,'Step 4 Stage Discharge'!E$26:E$126,1),1))</f>
        <v>0</v>
      </c>
      <c r="H816" s="149"/>
      <c r="I816" s="149">
        <f>INDEX('Step 4 Stage Discharge'!E$26:M$126,MATCH(F816,'Step 4 Stage Discharge'!E$26:E$126,1),9)+(INDEX('Step 4 Stage Discharge'!E$26:M$126,MATCH('Step 5 Routing'!F816,'Step 4 Stage Discharge'!E$26:E$126,1)+1,9)-INDEX('Step 4 Stage Discharge'!E$26:M$126,MATCH('Step 5 Routing'!F816,'Step 4 Stage Discharge'!E$26:E$126,1),9))*('Step 5 Routing'!F816-INDEX('Step 4 Stage Discharge'!E$26:M$126,MATCH('Step 5 Routing'!F816,'Step 4 Stage Discharge'!E$26:E$126,1),1))/(INDEX('Step 4 Stage Discharge'!E$26:M$126,MATCH('Step 5 Routing'!F816,'Step 4 Stage Discharge'!E$26:E$126,1)+1,1)-INDEX('Step 4 Stage Discharge'!E$26:M$126,MATCH('Step 5 Routing'!F816,'Step 4 Stage Discharge'!E$26:E$126,1),1))</f>
        <v>4.3639431710317386E-3</v>
      </c>
      <c r="J816" s="149"/>
      <c r="K816" s="6">
        <f t="shared" si="61"/>
        <v>0</v>
      </c>
      <c r="L816" s="6">
        <f t="shared" si="62"/>
        <v>0</v>
      </c>
    </row>
    <row r="817" spans="1:12">
      <c r="A817">
        <f t="shared" si="63"/>
        <v>804</v>
      </c>
      <c r="B817" s="136">
        <f>IF(C$5=Data!D$3,'Step 2 Inflow Hydrograph'!H861,IF(C$5=Data!D$4,'Step 2 Inflow Hydrograph'!I861,IF(C$5=Data!D$5,'Step 2 Inflow Hydrograph'!J861,'Step 2 Inflow Hydrograph'!K861)))</f>
        <v>0</v>
      </c>
      <c r="C817" s="127"/>
      <c r="D817" s="6">
        <f t="shared" si="60"/>
        <v>0</v>
      </c>
      <c r="E817" s="6"/>
      <c r="F817" s="6">
        <f t="shared" si="64"/>
        <v>0</v>
      </c>
      <c r="G817" s="149">
        <f>INDEX('Step 4 Stage Discharge'!E$26:F$126,MATCH(F817,'Step 4 Stage Discharge'!E$26:E$126,1),2)+(INDEX('Step 4 Stage Discharge'!E$26:F$126,MATCH(F817,'Step 4 Stage Discharge'!E$26:E$126,1)+1,2)-INDEX('Step 4 Stage Discharge'!E$26:F$126,MATCH(F817,'Step 4 Stage Discharge'!E$26:E$126,1),2))*(F817-INDEX('Step 4 Stage Discharge'!E$26:F$126,MATCH(F817,'Step 4 Stage Discharge'!E$26:E$126,1),1))/(INDEX('Step 4 Stage Discharge'!E$26:F$126,MATCH(F817,'Step 4 Stage Discharge'!E$26:E$126,1)+1,1)-INDEX('Step 4 Stage Discharge'!E$26:F$126,MATCH(F817,'Step 4 Stage Discharge'!E$26:E$126,1),1))</f>
        <v>0</v>
      </c>
      <c r="H817" s="149"/>
      <c r="I817" s="149">
        <f>INDEX('Step 4 Stage Discharge'!E$26:M$126,MATCH(F817,'Step 4 Stage Discharge'!E$26:E$126,1),9)+(INDEX('Step 4 Stage Discharge'!E$26:M$126,MATCH('Step 5 Routing'!F817,'Step 4 Stage Discharge'!E$26:E$126,1)+1,9)-INDEX('Step 4 Stage Discharge'!E$26:M$126,MATCH('Step 5 Routing'!F817,'Step 4 Stage Discharge'!E$26:E$126,1),9))*('Step 5 Routing'!F817-INDEX('Step 4 Stage Discharge'!E$26:M$126,MATCH('Step 5 Routing'!F817,'Step 4 Stage Discharge'!E$26:E$126,1),1))/(INDEX('Step 4 Stage Discharge'!E$26:M$126,MATCH('Step 5 Routing'!F817,'Step 4 Stage Discharge'!E$26:E$126,1)+1,1)-INDEX('Step 4 Stage Discharge'!E$26:M$126,MATCH('Step 5 Routing'!F817,'Step 4 Stage Discharge'!E$26:E$126,1),1))</f>
        <v>4.3639431710317386E-3</v>
      </c>
      <c r="J817" s="149"/>
      <c r="K817" s="6">
        <f t="shared" si="61"/>
        <v>0</v>
      </c>
      <c r="L817" s="6">
        <f t="shared" si="62"/>
        <v>0</v>
      </c>
    </row>
    <row r="818" spans="1:12">
      <c r="A818">
        <f t="shared" si="63"/>
        <v>805</v>
      </c>
      <c r="B818" s="136">
        <f>IF(C$5=Data!D$3,'Step 2 Inflow Hydrograph'!H862,IF(C$5=Data!D$4,'Step 2 Inflow Hydrograph'!I862,IF(C$5=Data!D$5,'Step 2 Inflow Hydrograph'!J862,'Step 2 Inflow Hydrograph'!K862)))</f>
        <v>0</v>
      </c>
      <c r="C818" s="127"/>
      <c r="D818" s="6">
        <f t="shared" si="60"/>
        <v>0</v>
      </c>
      <c r="E818" s="6"/>
      <c r="F818" s="6">
        <f t="shared" si="64"/>
        <v>0</v>
      </c>
      <c r="G818" s="149">
        <f>INDEX('Step 4 Stage Discharge'!E$26:F$126,MATCH(F818,'Step 4 Stage Discharge'!E$26:E$126,1),2)+(INDEX('Step 4 Stage Discharge'!E$26:F$126,MATCH(F818,'Step 4 Stage Discharge'!E$26:E$126,1)+1,2)-INDEX('Step 4 Stage Discharge'!E$26:F$126,MATCH(F818,'Step 4 Stage Discharge'!E$26:E$126,1),2))*(F818-INDEX('Step 4 Stage Discharge'!E$26:F$126,MATCH(F818,'Step 4 Stage Discharge'!E$26:E$126,1),1))/(INDEX('Step 4 Stage Discharge'!E$26:F$126,MATCH(F818,'Step 4 Stage Discharge'!E$26:E$126,1)+1,1)-INDEX('Step 4 Stage Discharge'!E$26:F$126,MATCH(F818,'Step 4 Stage Discharge'!E$26:E$126,1),1))</f>
        <v>0</v>
      </c>
      <c r="H818" s="149"/>
      <c r="I818" s="149">
        <f>INDEX('Step 4 Stage Discharge'!E$26:M$126,MATCH(F818,'Step 4 Stage Discharge'!E$26:E$126,1),9)+(INDEX('Step 4 Stage Discharge'!E$26:M$126,MATCH('Step 5 Routing'!F818,'Step 4 Stage Discharge'!E$26:E$126,1)+1,9)-INDEX('Step 4 Stage Discharge'!E$26:M$126,MATCH('Step 5 Routing'!F818,'Step 4 Stage Discharge'!E$26:E$126,1),9))*('Step 5 Routing'!F818-INDEX('Step 4 Stage Discharge'!E$26:M$126,MATCH('Step 5 Routing'!F818,'Step 4 Stage Discharge'!E$26:E$126,1),1))/(INDEX('Step 4 Stage Discharge'!E$26:M$126,MATCH('Step 5 Routing'!F818,'Step 4 Stage Discharge'!E$26:E$126,1)+1,1)-INDEX('Step 4 Stage Discharge'!E$26:M$126,MATCH('Step 5 Routing'!F818,'Step 4 Stage Discharge'!E$26:E$126,1),1))</f>
        <v>4.3639431710317386E-3</v>
      </c>
      <c r="J818" s="149"/>
      <c r="K818" s="6">
        <f t="shared" si="61"/>
        <v>0</v>
      </c>
      <c r="L818" s="6">
        <f t="shared" si="62"/>
        <v>0</v>
      </c>
    </row>
    <row r="819" spans="1:12">
      <c r="A819">
        <f t="shared" si="63"/>
        <v>806</v>
      </c>
      <c r="B819" s="136">
        <f>IF(C$5=Data!D$3,'Step 2 Inflow Hydrograph'!H863,IF(C$5=Data!D$4,'Step 2 Inflow Hydrograph'!I863,IF(C$5=Data!D$5,'Step 2 Inflow Hydrograph'!J863,'Step 2 Inflow Hydrograph'!K863)))</f>
        <v>0</v>
      </c>
      <c r="C819" s="127"/>
      <c r="D819" s="6">
        <f t="shared" si="60"/>
        <v>0</v>
      </c>
      <c r="E819" s="6"/>
      <c r="F819" s="6">
        <f t="shared" si="64"/>
        <v>0</v>
      </c>
      <c r="G819" s="149">
        <f>INDEX('Step 4 Stage Discharge'!E$26:F$126,MATCH(F819,'Step 4 Stage Discharge'!E$26:E$126,1),2)+(INDEX('Step 4 Stage Discharge'!E$26:F$126,MATCH(F819,'Step 4 Stage Discharge'!E$26:E$126,1)+1,2)-INDEX('Step 4 Stage Discharge'!E$26:F$126,MATCH(F819,'Step 4 Stage Discharge'!E$26:E$126,1),2))*(F819-INDEX('Step 4 Stage Discharge'!E$26:F$126,MATCH(F819,'Step 4 Stage Discharge'!E$26:E$126,1),1))/(INDEX('Step 4 Stage Discharge'!E$26:F$126,MATCH(F819,'Step 4 Stage Discharge'!E$26:E$126,1)+1,1)-INDEX('Step 4 Stage Discharge'!E$26:F$126,MATCH(F819,'Step 4 Stage Discharge'!E$26:E$126,1),1))</f>
        <v>0</v>
      </c>
      <c r="H819" s="149"/>
      <c r="I819" s="149">
        <f>INDEX('Step 4 Stage Discharge'!E$26:M$126,MATCH(F819,'Step 4 Stage Discharge'!E$26:E$126,1),9)+(INDEX('Step 4 Stage Discharge'!E$26:M$126,MATCH('Step 5 Routing'!F819,'Step 4 Stage Discharge'!E$26:E$126,1)+1,9)-INDEX('Step 4 Stage Discharge'!E$26:M$126,MATCH('Step 5 Routing'!F819,'Step 4 Stage Discharge'!E$26:E$126,1),9))*('Step 5 Routing'!F819-INDEX('Step 4 Stage Discharge'!E$26:M$126,MATCH('Step 5 Routing'!F819,'Step 4 Stage Discharge'!E$26:E$126,1),1))/(INDEX('Step 4 Stage Discharge'!E$26:M$126,MATCH('Step 5 Routing'!F819,'Step 4 Stage Discharge'!E$26:E$126,1)+1,1)-INDEX('Step 4 Stage Discharge'!E$26:M$126,MATCH('Step 5 Routing'!F819,'Step 4 Stage Discharge'!E$26:E$126,1),1))</f>
        <v>4.3639431710317386E-3</v>
      </c>
      <c r="J819" s="149"/>
      <c r="K819" s="6">
        <f t="shared" si="61"/>
        <v>0</v>
      </c>
      <c r="L819" s="6">
        <f t="shared" si="62"/>
        <v>0</v>
      </c>
    </row>
    <row r="820" spans="1:12">
      <c r="A820">
        <f t="shared" si="63"/>
        <v>807</v>
      </c>
      <c r="B820" s="136">
        <f>IF(C$5=Data!D$3,'Step 2 Inflow Hydrograph'!H864,IF(C$5=Data!D$4,'Step 2 Inflow Hydrograph'!I864,IF(C$5=Data!D$5,'Step 2 Inflow Hydrograph'!J864,'Step 2 Inflow Hydrograph'!K864)))</f>
        <v>0</v>
      </c>
      <c r="C820" s="127"/>
      <c r="D820" s="6">
        <f t="shared" si="60"/>
        <v>0</v>
      </c>
      <c r="E820" s="6"/>
      <c r="F820" s="6">
        <f t="shared" si="64"/>
        <v>0</v>
      </c>
      <c r="G820" s="149">
        <f>INDEX('Step 4 Stage Discharge'!E$26:F$126,MATCH(F820,'Step 4 Stage Discharge'!E$26:E$126,1),2)+(INDEX('Step 4 Stage Discharge'!E$26:F$126,MATCH(F820,'Step 4 Stage Discharge'!E$26:E$126,1)+1,2)-INDEX('Step 4 Stage Discharge'!E$26:F$126,MATCH(F820,'Step 4 Stage Discharge'!E$26:E$126,1),2))*(F820-INDEX('Step 4 Stage Discharge'!E$26:F$126,MATCH(F820,'Step 4 Stage Discharge'!E$26:E$126,1),1))/(INDEX('Step 4 Stage Discharge'!E$26:F$126,MATCH(F820,'Step 4 Stage Discharge'!E$26:E$126,1)+1,1)-INDEX('Step 4 Stage Discharge'!E$26:F$126,MATCH(F820,'Step 4 Stage Discharge'!E$26:E$126,1),1))</f>
        <v>0</v>
      </c>
      <c r="H820" s="149"/>
      <c r="I820" s="149">
        <f>INDEX('Step 4 Stage Discharge'!E$26:M$126,MATCH(F820,'Step 4 Stage Discharge'!E$26:E$126,1),9)+(INDEX('Step 4 Stage Discharge'!E$26:M$126,MATCH('Step 5 Routing'!F820,'Step 4 Stage Discharge'!E$26:E$126,1)+1,9)-INDEX('Step 4 Stage Discharge'!E$26:M$126,MATCH('Step 5 Routing'!F820,'Step 4 Stage Discharge'!E$26:E$126,1),9))*('Step 5 Routing'!F820-INDEX('Step 4 Stage Discharge'!E$26:M$126,MATCH('Step 5 Routing'!F820,'Step 4 Stage Discharge'!E$26:E$126,1),1))/(INDEX('Step 4 Stage Discharge'!E$26:M$126,MATCH('Step 5 Routing'!F820,'Step 4 Stage Discharge'!E$26:E$126,1)+1,1)-INDEX('Step 4 Stage Discharge'!E$26:M$126,MATCH('Step 5 Routing'!F820,'Step 4 Stage Discharge'!E$26:E$126,1),1))</f>
        <v>4.3639431710317386E-3</v>
      </c>
      <c r="J820" s="149"/>
      <c r="K820" s="6">
        <f t="shared" si="61"/>
        <v>0</v>
      </c>
      <c r="L820" s="6">
        <f t="shared" si="62"/>
        <v>0</v>
      </c>
    </row>
    <row r="821" spans="1:12">
      <c r="A821">
        <f t="shared" si="63"/>
        <v>808</v>
      </c>
      <c r="B821" s="136">
        <f>IF(C$5=Data!D$3,'Step 2 Inflow Hydrograph'!H865,IF(C$5=Data!D$4,'Step 2 Inflow Hydrograph'!I865,IF(C$5=Data!D$5,'Step 2 Inflow Hydrograph'!J865,'Step 2 Inflow Hydrograph'!K865)))</f>
        <v>0</v>
      </c>
      <c r="C821" s="127"/>
      <c r="D821" s="6">
        <f t="shared" si="60"/>
        <v>0</v>
      </c>
      <c r="E821" s="6"/>
      <c r="F821" s="6">
        <f t="shared" si="64"/>
        <v>0</v>
      </c>
      <c r="G821" s="149">
        <f>INDEX('Step 4 Stage Discharge'!E$26:F$126,MATCH(F821,'Step 4 Stage Discharge'!E$26:E$126,1),2)+(INDEX('Step 4 Stage Discharge'!E$26:F$126,MATCH(F821,'Step 4 Stage Discharge'!E$26:E$126,1)+1,2)-INDEX('Step 4 Stage Discharge'!E$26:F$126,MATCH(F821,'Step 4 Stage Discharge'!E$26:E$126,1),2))*(F821-INDEX('Step 4 Stage Discharge'!E$26:F$126,MATCH(F821,'Step 4 Stage Discharge'!E$26:E$126,1),1))/(INDEX('Step 4 Stage Discharge'!E$26:F$126,MATCH(F821,'Step 4 Stage Discharge'!E$26:E$126,1)+1,1)-INDEX('Step 4 Stage Discharge'!E$26:F$126,MATCH(F821,'Step 4 Stage Discharge'!E$26:E$126,1),1))</f>
        <v>0</v>
      </c>
      <c r="H821" s="149"/>
      <c r="I821" s="149">
        <f>INDEX('Step 4 Stage Discharge'!E$26:M$126,MATCH(F821,'Step 4 Stage Discharge'!E$26:E$126,1),9)+(INDEX('Step 4 Stage Discharge'!E$26:M$126,MATCH('Step 5 Routing'!F821,'Step 4 Stage Discharge'!E$26:E$126,1)+1,9)-INDEX('Step 4 Stage Discharge'!E$26:M$126,MATCH('Step 5 Routing'!F821,'Step 4 Stage Discharge'!E$26:E$126,1),9))*('Step 5 Routing'!F821-INDEX('Step 4 Stage Discharge'!E$26:M$126,MATCH('Step 5 Routing'!F821,'Step 4 Stage Discharge'!E$26:E$126,1),1))/(INDEX('Step 4 Stage Discharge'!E$26:M$126,MATCH('Step 5 Routing'!F821,'Step 4 Stage Discharge'!E$26:E$126,1)+1,1)-INDEX('Step 4 Stage Discharge'!E$26:M$126,MATCH('Step 5 Routing'!F821,'Step 4 Stage Discharge'!E$26:E$126,1),1))</f>
        <v>4.3639431710317386E-3</v>
      </c>
      <c r="J821" s="149"/>
      <c r="K821" s="6">
        <f t="shared" si="61"/>
        <v>0</v>
      </c>
      <c r="L821" s="6">
        <f t="shared" si="62"/>
        <v>0</v>
      </c>
    </row>
    <row r="822" spans="1:12">
      <c r="A822">
        <f t="shared" si="63"/>
        <v>809</v>
      </c>
      <c r="B822" s="136">
        <f>IF(C$5=Data!D$3,'Step 2 Inflow Hydrograph'!H866,IF(C$5=Data!D$4,'Step 2 Inflow Hydrograph'!I866,IF(C$5=Data!D$5,'Step 2 Inflow Hydrograph'!J866,'Step 2 Inflow Hydrograph'!K866)))</f>
        <v>0</v>
      </c>
      <c r="C822" s="127"/>
      <c r="D822" s="6">
        <f t="shared" si="60"/>
        <v>0</v>
      </c>
      <c r="E822" s="6"/>
      <c r="F822" s="6">
        <f t="shared" si="64"/>
        <v>0</v>
      </c>
      <c r="G822" s="149">
        <f>INDEX('Step 4 Stage Discharge'!E$26:F$126,MATCH(F822,'Step 4 Stage Discharge'!E$26:E$126,1),2)+(INDEX('Step 4 Stage Discharge'!E$26:F$126,MATCH(F822,'Step 4 Stage Discharge'!E$26:E$126,1)+1,2)-INDEX('Step 4 Stage Discharge'!E$26:F$126,MATCH(F822,'Step 4 Stage Discharge'!E$26:E$126,1),2))*(F822-INDEX('Step 4 Stage Discharge'!E$26:F$126,MATCH(F822,'Step 4 Stage Discharge'!E$26:E$126,1),1))/(INDEX('Step 4 Stage Discharge'!E$26:F$126,MATCH(F822,'Step 4 Stage Discharge'!E$26:E$126,1)+1,1)-INDEX('Step 4 Stage Discharge'!E$26:F$126,MATCH(F822,'Step 4 Stage Discharge'!E$26:E$126,1),1))</f>
        <v>0</v>
      </c>
      <c r="H822" s="149"/>
      <c r="I822" s="149">
        <f>INDEX('Step 4 Stage Discharge'!E$26:M$126,MATCH(F822,'Step 4 Stage Discharge'!E$26:E$126,1),9)+(INDEX('Step 4 Stage Discharge'!E$26:M$126,MATCH('Step 5 Routing'!F822,'Step 4 Stage Discharge'!E$26:E$126,1)+1,9)-INDEX('Step 4 Stage Discharge'!E$26:M$126,MATCH('Step 5 Routing'!F822,'Step 4 Stage Discharge'!E$26:E$126,1),9))*('Step 5 Routing'!F822-INDEX('Step 4 Stage Discharge'!E$26:M$126,MATCH('Step 5 Routing'!F822,'Step 4 Stage Discharge'!E$26:E$126,1),1))/(INDEX('Step 4 Stage Discharge'!E$26:M$126,MATCH('Step 5 Routing'!F822,'Step 4 Stage Discharge'!E$26:E$126,1)+1,1)-INDEX('Step 4 Stage Discharge'!E$26:M$126,MATCH('Step 5 Routing'!F822,'Step 4 Stage Discharge'!E$26:E$126,1),1))</f>
        <v>4.3639431710317386E-3</v>
      </c>
      <c r="J822" s="149"/>
      <c r="K822" s="6">
        <f t="shared" si="61"/>
        <v>0</v>
      </c>
      <c r="L822" s="6">
        <f t="shared" si="62"/>
        <v>0</v>
      </c>
    </row>
    <row r="823" spans="1:12">
      <c r="A823">
        <f t="shared" si="63"/>
        <v>810</v>
      </c>
      <c r="B823" s="136">
        <f>IF(C$5=Data!D$3,'Step 2 Inflow Hydrograph'!H867,IF(C$5=Data!D$4,'Step 2 Inflow Hydrograph'!I867,IF(C$5=Data!D$5,'Step 2 Inflow Hydrograph'!J867,'Step 2 Inflow Hydrograph'!K867)))</f>
        <v>0</v>
      </c>
      <c r="C823" s="127"/>
      <c r="D823" s="6">
        <f t="shared" si="60"/>
        <v>0</v>
      </c>
      <c r="E823" s="6"/>
      <c r="F823" s="6">
        <f t="shared" si="64"/>
        <v>0</v>
      </c>
      <c r="G823" s="149">
        <f>INDEX('Step 4 Stage Discharge'!E$26:F$126,MATCH(F823,'Step 4 Stage Discharge'!E$26:E$126,1),2)+(INDEX('Step 4 Stage Discharge'!E$26:F$126,MATCH(F823,'Step 4 Stage Discharge'!E$26:E$126,1)+1,2)-INDEX('Step 4 Stage Discharge'!E$26:F$126,MATCH(F823,'Step 4 Stage Discharge'!E$26:E$126,1),2))*(F823-INDEX('Step 4 Stage Discharge'!E$26:F$126,MATCH(F823,'Step 4 Stage Discharge'!E$26:E$126,1),1))/(INDEX('Step 4 Stage Discharge'!E$26:F$126,MATCH(F823,'Step 4 Stage Discharge'!E$26:E$126,1)+1,1)-INDEX('Step 4 Stage Discharge'!E$26:F$126,MATCH(F823,'Step 4 Stage Discharge'!E$26:E$126,1),1))</f>
        <v>0</v>
      </c>
      <c r="H823" s="149"/>
      <c r="I823" s="149">
        <f>INDEX('Step 4 Stage Discharge'!E$26:M$126,MATCH(F823,'Step 4 Stage Discharge'!E$26:E$126,1),9)+(INDEX('Step 4 Stage Discharge'!E$26:M$126,MATCH('Step 5 Routing'!F823,'Step 4 Stage Discharge'!E$26:E$126,1)+1,9)-INDEX('Step 4 Stage Discharge'!E$26:M$126,MATCH('Step 5 Routing'!F823,'Step 4 Stage Discharge'!E$26:E$126,1),9))*('Step 5 Routing'!F823-INDEX('Step 4 Stage Discharge'!E$26:M$126,MATCH('Step 5 Routing'!F823,'Step 4 Stage Discharge'!E$26:E$126,1),1))/(INDEX('Step 4 Stage Discharge'!E$26:M$126,MATCH('Step 5 Routing'!F823,'Step 4 Stage Discharge'!E$26:E$126,1)+1,1)-INDEX('Step 4 Stage Discharge'!E$26:M$126,MATCH('Step 5 Routing'!F823,'Step 4 Stage Discharge'!E$26:E$126,1),1))</f>
        <v>4.3639431710317386E-3</v>
      </c>
      <c r="J823" s="149"/>
      <c r="K823" s="6">
        <f t="shared" si="61"/>
        <v>0</v>
      </c>
      <c r="L823" s="6">
        <f t="shared" si="62"/>
        <v>0</v>
      </c>
    </row>
    <row r="824" spans="1:12">
      <c r="A824">
        <f t="shared" si="63"/>
        <v>811</v>
      </c>
      <c r="B824" s="136">
        <f>IF(C$5=Data!D$3,'Step 2 Inflow Hydrograph'!H868,IF(C$5=Data!D$4,'Step 2 Inflow Hydrograph'!I868,IF(C$5=Data!D$5,'Step 2 Inflow Hydrograph'!J868,'Step 2 Inflow Hydrograph'!K868)))</f>
        <v>0</v>
      </c>
      <c r="C824" s="127"/>
      <c r="D824" s="6">
        <f t="shared" si="60"/>
        <v>0</v>
      </c>
      <c r="E824" s="6"/>
      <c r="F824" s="6">
        <f t="shared" si="64"/>
        <v>0</v>
      </c>
      <c r="G824" s="149">
        <f>INDEX('Step 4 Stage Discharge'!E$26:F$126,MATCH(F824,'Step 4 Stage Discharge'!E$26:E$126,1),2)+(INDEX('Step 4 Stage Discharge'!E$26:F$126,MATCH(F824,'Step 4 Stage Discharge'!E$26:E$126,1)+1,2)-INDEX('Step 4 Stage Discharge'!E$26:F$126,MATCH(F824,'Step 4 Stage Discharge'!E$26:E$126,1),2))*(F824-INDEX('Step 4 Stage Discharge'!E$26:F$126,MATCH(F824,'Step 4 Stage Discharge'!E$26:E$126,1),1))/(INDEX('Step 4 Stage Discharge'!E$26:F$126,MATCH(F824,'Step 4 Stage Discharge'!E$26:E$126,1)+1,1)-INDEX('Step 4 Stage Discharge'!E$26:F$126,MATCH(F824,'Step 4 Stage Discharge'!E$26:E$126,1),1))</f>
        <v>0</v>
      </c>
      <c r="H824" s="149"/>
      <c r="I824" s="149">
        <f>INDEX('Step 4 Stage Discharge'!E$26:M$126,MATCH(F824,'Step 4 Stage Discharge'!E$26:E$126,1),9)+(INDEX('Step 4 Stage Discharge'!E$26:M$126,MATCH('Step 5 Routing'!F824,'Step 4 Stage Discharge'!E$26:E$126,1)+1,9)-INDEX('Step 4 Stage Discharge'!E$26:M$126,MATCH('Step 5 Routing'!F824,'Step 4 Stage Discharge'!E$26:E$126,1),9))*('Step 5 Routing'!F824-INDEX('Step 4 Stage Discharge'!E$26:M$126,MATCH('Step 5 Routing'!F824,'Step 4 Stage Discharge'!E$26:E$126,1),1))/(INDEX('Step 4 Stage Discharge'!E$26:M$126,MATCH('Step 5 Routing'!F824,'Step 4 Stage Discharge'!E$26:E$126,1)+1,1)-INDEX('Step 4 Stage Discharge'!E$26:M$126,MATCH('Step 5 Routing'!F824,'Step 4 Stage Discharge'!E$26:E$126,1),1))</f>
        <v>4.3639431710317386E-3</v>
      </c>
      <c r="J824" s="149"/>
      <c r="K824" s="6">
        <f t="shared" si="61"/>
        <v>0</v>
      </c>
      <c r="L824" s="6">
        <f t="shared" si="62"/>
        <v>0</v>
      </c>
    </row>
    <row r="825" spans="1:12">
      <c r="A825">
        <f t="shared" si="63"/>
        <v>812</v>
      </c>
      <c r="B825" s="136">
        <f>IF(C$5=Data!D$3,'Step 2 Inflow Hydrograph'!H869,IF(C$5=Data!D$4,'Step 2 Inflow Hydrograph'!I869,IF(C$5=Data!D$5,'Step 2 Inflow Hydrograph'!J869,'Step 2 Inflow Hydrograph'!K869)))</f>
        <v>0</v>
      </c>
      <c r="C825" s="127"/>
      <c r="D825" s="6">
        <f t="shared" si="60"/>
        <v>0</v>
      </c>
      <c r="E825" s="6"/>
      <c r="F825" s="6">
        <f t="shared" si="64"/>
        <v>0</v>
      </c>
      <c r="G825" s="149">
        <f>INDEX('Step 4 Stage Discharge'!E$26:F$126,MATCH(F825,'Step 4 Stage Discharge'!E$26:E$126,1),2)+(INDEX('Step 4 Stage Discharge'!E$26:F$126,MATCH(F825,'Step 4 Stage Discharge'!E$26:E$126,1)+1,2)-INDEX('Step 4 Stage Discharge'!E$26:F$126,MATCH(F825,'Step 4 Stage Discharge'!E$26:E$126,1),2))*(F825-INDEX('Step 4 Stage Discharge'!E$26:F$126,MATCH(F825,'Step 4 Stage Discharge'!E$26:E$126,1),1))/(INDEX('Step 4 Stage Discharge'!E$26:F$126,MATCH(F825,'Step 4 Stage Discharge'!E$26:E$126,1)+1,1)-INDEX('Step 4 Stage Discharge'!E$26:F$126,MATCH(F825,'Step 4 Stage Discharge'!E$26:E$126,1),1))</f>
        <v>0</v>
      </c>
      <c r="H825" s="149"/>
      <c r="I825" s="149">
        <f>INDEX('Step 4 Stage Discharge'!E$26:M$126,MATCH(F825,'Step 4 Stage Discharge'!E$26:E$126,1),9)+(INDEX('Step 4 Stage Discharge'!E$26:M$126,MATCH('Step 5 Routing'!F825,'Step 4 Stage Discharge'!E$26:E$126,1)+1,9)-INDEX('Step 4 Stage Discharge'!E$26:M$126,MATCH('Step 5 Routing'!F825,'Step 4 Stage Discharge'!E$26:E$126,1),9))*('Step 5 Routing'!F825-INDEX('Step 4 Stage Discharge'!E$26:M$126,MATCH('Step 5 Routing'!F825,'Step 4 Stage Discharge'!E$26:E$126,1),1))/(INDEX('Step 4 Stage Discharge'!E$26:M$126,MATCH('Step 5 Routing'!F825,'Step 4 Stage Discharge'!E$26:E$126,1)+1,1)-INDEX('Step 4 Stage Discharge'!E$26:M$126,MATCH('Step 5 Routing'!F825,'Step 4 Stage Discharge'!E$26:E$126,1),1))</f>
        <v>4.3639431710317386E-3</v>
      </c>
      <c r="J825" s="149"/>
      <c r="K825" s="6">
        <f t="shared" si="61"/>
        <v>0</v>
      </c>
      <c r="L825" s="6">
        <f t="shared" si="62"/>
        <v>0</v>
      </c>
    </row>
    <row r="826" spans="1:12">
      <c r="A826">
        <f t="shared" si="63"/>
        <v>813</v>
      </c>
      <c r="B826" s="136">
        <f>IF(C$5=Data!D$3,'Step 2 Inflow Hydrograph'!H870,IF(C$5=Data!D$4,'Step 2 Inflow Hydrograph'!I870,IF(C$5=Data!D$5,'Step 2 Inflow Hydrograph'!J870,'Step 2 Inflow Hydrograph'!K870)))</f>
        <v>0</v>
      </c>
      <c r="C826" s="127"/>
      <c r="D826" s="6">
        <f t="shared" si="60"/>
        <v>0</v>
      </c>
      <c r="E826" s="6"/>
      <c r="F826" s="6">
        <f t="shared" si="64"/>
        <v>0</v>
      </c>
      <c r="G826" s="149">
        <f>INDEX('Step 4 Stage Discharge'!E$26:F$126,MATCH(F826,'Step 4 Stage Discharge'!E$26:E$126,1),2)+(INDEX('Step 4 Stage Discharge'!E$26:F$126,MATCH(F826,'Step 4 Stage Discharge'!E$26:E$126,1)+1,2)-INDEX('Step 4 Stage Discharge'!E$26:F$126,MATCH(F826,'Step 4 Stage Discharge'!E$26:E$126,1),2))*(F826-INDEX('Step 4 Stage Discharge'!E$26:F$126,MATCH(F826,'Step 4 Stage Discharge'!E$26:E$126,1),1))/(INDEX('Step 4 Stage Discharge'!E$26:F$126,MATCH(F826,'Step 4 Stage Discharge'!E$26:E$126,1)+1,1)-INDEX('Step 4 Stage Discharge'!E$26:F$126,MATCH(F826,'Step 4 Stage Discharge'!E$26:E$126,1),1))</f>
        <v>0</v>
      </c>
      <c r="H826" s="149"/>
      <c r="I826" s="149">
        <f>INDEX('Step 4 Stage Discharge'!E$26:M$126,MATCH(F826,'Step 4 Stage Discharge'!E$26:E$126,1),9)+(INDEX('Step 4 Stage Discharge'!E$26:M$126,MATCH('Step 5 Routing'!F826,'Step 4 Stage Discharge'!E$26:E$126,1)+1,9)-INDEX('Step 4 Stage Discharge'!E$26:M$126,MATCH('Step 5 Routing'!F826,'Step 4 Stage Discharge'!E$26:E$126,1),9))*('Step 5 Routing'!F826-INDEX('Step 4 Stage Discharge'!E$26:M$126,MATCH('Step 5 Routing'!F826,'Step 4 Stage Discharge'!E$26:E$126,1),1))/(INDEX('Step 4 Stage Discharge'!E$26:M$126,MATCH('Step 5 Routing'!F826,'Step 4 Stage Discharge'!E$26:E$126,1)+1,1)-INDEX('Step 4 Stage Discharge'!E$26:M$126,MATCH('Step 5 Routing'!F826,'Step 4 Stage Discharge'!E$26:E$126,1),1))</f>
        <v>4.3639431710317386E-3</v>
      </c>
      <c r="J826" s="149"/>
      <c r="K826" s="6">
        <f t="shared" si="61"/>
        <v>0</v>
      </c>
      <c r="L826" s="6">
        <f t="shared" si="62"/>
        <v>0</v>
      </c>
    </row>
    <row r="827" spans="1:12">
      <c r="A827">
        <f t="shared" si="63"/>
        <v>814</v>
      </c>
      <c r="B827" s="136">
        <f>IF(C$5=Data!D$3,'Step 2 Inflow Hydrograph'!H871,IF(C$5=Data!D$4,'Step 2 Inflow Hydrograph'!I871,IF(C$5=Data!D$5,'Step 2 Inflow Hydrograph'!J871,'Step 2 Inflow Hydrograph'!K871)))</f>
        <v>0</v>
      </c>
      <c r="C827" s="127"/>
      <c r="D827" s="6">
        <f t="shared" si="60"/>
        <v>0</v>
      </c>
      <c r="E827" s="6"/>
      <c r="F827" s="6">
        <f t="shared" si="64"/>
        <v>0</v>
      </c>
      <c r="G827" s="149">
        <f>INDEX('Step 4 Stage Discharge'!E$26:F$126,MATCH(F827,'Step 4 Stage Discharge'!E$26:E$126,1),2)+(INDEX('Step 4 Stage Discharge'!E$26:F$126,MATCH(F827,'Step 4 Stage Discharge'!E$26:E$126,1)+1,2)-INDEX('Step 4 Stage Discharge'!E$26:F$126,MATCH(F827,'Step 4 Stage Discharge'!E$26:E$126,1),2))*(F827-INDEX('Step 4 Stage Discharge'!E$26:F$126,MATCH(F827,'Step 4 Stage Discharge'!E$26:E$126,1),1))/(INDEX('Step 4 Stage Discharge'!E$26:F$126,MATCH(F827,'Step 4 Stage Discharge'!E$26:E$126,1)+1,1)-INDEX('Step 4 Stage Discharge'!E$26:F$126,MATCH(F827,'Step 4 Stage Discharge'!E$26:E$126,1),1))</f>
        <v>0</v>
      </c>
      <c r="H827" s="149"/>
      <c r="I827" s="149">
        <f>INDEX('Step 4 Stage Discharge'!E$26:M$126,MATCH(F827,'Step 4 Stage Discharge'!E$26:E$126,1),9)+(INDEX('Step 4 Stage Discharge'!E$26:M$126,MATCH('Step 5 Routing'!F827,'Step 4 Stage Discharge'!E$26:E$126,1)+1,9)-INDEX('Step 4 Stage Discharge'!E$26:M$126,MATCH('Step 5 Routing'!F827,'Step 4 Stage Discharge'!E$26:E$126,1),9))*('Step 5 Routing'!F827-INDEX('Step 4 Stage Discharge'!E$26:M$126,MATCH('Step 5 Routing'!F827,'Step 4 Stage Discharge'!E$26:E$126,1),1))/(INDEX('Step 4 Stage Discharge'!E$26:M$126,MATCH('Step 5 Routing'!F827,'Step 4 Stage Discharge'!E$26:E$126,1)+1,1)-INDEX('Step 4 Stage Discharge'!E$26:M$126,MATCH('Step 5 Routing'!F827,'Step 4 Stage Discharge'!E$26:E$126,1),1))</f>
        <v>4.3639431710317386E-3</v>
      </c>
      <c r="J827" s="149"/>
      <c r="K827" s="6">
        <f t="shared" si="61"/>
        <v>0</v>
      </c>
      <c r="L827" s="6">
        <f t="shared" si="62"/>
        <v>0</v>
      </c>
    </row>
    <row r="828" spans="1:12">
      <c r="A828">
        <f t="shared" si="63"/>
        <v>815</v>
      </c>
      <c r="B828" s="136">
        <f>IF(C$5=Data!D$3,'Step 2 Inflow Hydrograph'!H872,IF(C$5=Data!D$4,'Step 2 Inflow Hydrograph'!I872,IF(C$5=Data!D$5,'Step 2 Inflow Hydrograph'!J872,'Step 2 Inflow Hydrograph'!K872)))</f>
        <v>0</v>
      </c>
      <c r="C828" s="127"/>
      <c r="D828" s="6">
        <f t="shared" si="60"/>
        <v>0</v>
      </c>
      <c r="E828" s="6"/>
      <c r="F828" s="6">
        <f t="shared" si="64"/>
        <v>0</v>
      </c>
      <c r="G828" s="149">
        <f>INDEX('Step 4 Stage Discharge'!E$26:F$126,MATCH(F828,'Step 4 Stage Discharge'!E$26:E$126,1),2)+(INDEX('Step 4 Stage Discharge'!E$26:F$126,MATCH(F828,'Step 4 Stage Discharge'!E$26:E$126,1)+1,2)-INDEX('Step 4 Stage Discharge'!E$26:F$126,MATCH(F828,'Step 4 Stage Discharge'!E$26:E$126,1),2))*(F828-INDEX('Step 4 Stage Discharge'!E$26:F$126,MATCH(F828,'Step 4 Stage Discharge'!E$26:E$126,1),1))/(INDEX('Step 4 Stage Discharge'!E$26:F$126,MATCH(F828,'Step 4 Stage Discharge'!E$26:E$126,1)+1,1)-INDEX('Step 4 Stage Discharge'!E$26:F$126,MATCH(F828,'Step 4 Stage Discharge'!E$26:E$126,1),1))</f>
        <v>0</v>
      </c>
      <c r="H828" s="149"/>
      <c r="I828" s="149">
        <f>INDEX('Step 4 Stage Discharge'!E$26:M$126,MATCH(F828,'Step 4 Stage Discharge'!E$26:E$126,1),9)+(INDEX('Step 4 Stage Discharge'!E$26:M$126,MATCH('Step 5 Routing'!F828,'Step 4 Stage Discharge'!E$26:E$126,1)+1,9)-INDEX('Step 4 Stage Discharge'!E$26:M$126,MATCH('Step 5 Routing'!F828,'Step 4 Stage Discharge'!E$26:E$126,1),9))*('Step 5 Routing'!F828-INDEX('Step 4 Stage Discharge'!E$26:M$126,MATCH('Step 5 Routing'!F828,'Step 4 Stage Discharge'!E$26:E$126,1),1))/(INDEX('Step 4 Stage Discharge'!E$26:M$126,MATCH('Step 5 Routing'!F828,'Step 4 Stage Discharge'!E$26:E$126,1)+1,1)-INDEX('Step 4 Stage Discharge'!E$26:M$126,MATCH('Step 5 Routing'!F828,'Step 4 Stage Discharge'!E$26:E$126,1),1))</f>
        <v>4.3639431710317386E-3</v>
      </c>
      <c r="J828" s="149"/>
      <c r="K828" s="6">
        <f t="shared" si="61"/>
        <v>0</v>
      </c>
      <c r="L828" s="6">
        <f t="shared" si="62"/>
        <v>0</v>
      </c>
    </row>
    <row r="829" spans="1:12">
      <c r="A829">
        <f t="shared" si="63"/>
        <v>816</v>
      </c>
      <c r="B829" s="136">
        <f>IF(C$5=Data!D$3,'Step 2 Inflow Hydrograph'!H873,IF(C$5=Data!D$4,'Step 2 Inflow Hydrograph'!I873,IF(C$5=Data!D$5,'Step 2 Inflow Hydrograph'!J873,'Step 2 Inflow Hydrograph'!K873)))</f>
        <v>0</v>
      </c>
      <c r="C829" s="127"/>
      <c r="D829" s="6">
        <f t="shared" si="60"/>
        <v>0</v>
      </c>
      <c r="E829" s="6"/>
      <c r="F829" s="6">
        <f t="shared" si="64"/>
        <v>0</v>
      </c>
      <c r="G829" s="149">
        <f>INDEX('Step 4 Stage Discharge'!E$26:F$126,MATCH(F829,'Step 4 Stage Discharge'!E$26:E$126,1),2)+(INDEX('Step 4 Stage Discharge'!E$26:F$126,MATCH(F829,'Step 4 Stage Discharge'!E$26:E$126,1)+1,2)-INDEX('Step 4 Stage Discharge'!E$26:F$126,MATCH(F829,'Step 4 Stage Discharge'!E$26:E$126,1),2))*(F829-INDEX('Step 4 Stage Discharge'!E$26:F$126,MATCH(F829,'Step 4 Stage Discharge'!E$26:E$126,1),1))/(INDEX('Step 4 Stage Discharge'!E$26:F$126,MATCH(F829,'Step 4 Stage Discharge'!E$26:E$126,1)+1,1)-INDEX('Step 4 Stage Discharge'!E$26:F$126,MATCH(F829,'Step 4 Stage Discharge'!E$26:E$126,1),1))</f>
        <v>0</v>
      </c>
      <c r="H829" s="149"/>
      <c r="I829" s="149">
        <f>INDEX('Step 4 Stage Discharge'!E$26:M$126,MATCH(F829,'Step 4 Stage Discharge'!E$26:E$126,1),9)+(INDEX('Step 4 Stage Discharge'!E$26:M$126,MATCH('Step 5 Routing'!F829,'Step 4 Stage Discharge'!E$26:E$126,1)+1,9)-INDEX('Step 4 Stage Discharge'!E$26:M$126,MATCH('Step 5 Routing'!F829,'Step 4 Stage Discharge'!E$26:E$126,1),9))*('Step 5 Routing'!F829-INDEX('Step 4 Stage Discharge'!E$26:M$126,MATCH('Step 5 Routing'!F829,'Step 4 Stage Discharge'!E$26:E$126,1),1))/(INDEX('Step 4 Stage Discharge'!E$26:M$126,MATCH('Step 5 Routing'!F829,'Step 4 Stage Discharge'!E$26:E$126,1)+1,1)-INDEX('Step 4 Stage Discharge'!E$26:M$126,MATCH('Step 5 Routing'!F829,'Step 4 Stage Discharge'!E$26:E$126,1),1))</f>
        <v>4.3639431710317386E-3</v>
      </c>
      <c r="J829" s="149"/>
      <c r="K829" s="6">
        <f t="shared" si="61"/>
        <v>0</v>
      </c>
      <c r="L829" s="6">
        <f t="shared" si="62"/>
        <v>0</v>
      </c>
    </row>
    <row r="830" spans="1:12">
      <c r="A830">
        <f t="shared" si="63"/>
        <v>817</v>
      </c>
      <c r="B830" s="136">
        <f>IF(C$5=Data!D$3,'Step 2 Inflow Hydrograph'!H874,IF(C$5=Data!D$4,'Step 2 Inflow Hydrograph'!I874,IF(C$5=Data!D$5,'Step 2 Inflow Hydrograph'!J874,'Step 2 Inflow Hydrograph'!K874)))</f>
        <v>0</v>
      </c>
      <c r="C830" s="127"/>
      <c r="D830" s="6">
        <f t="shared" si="60"/>
        <v>0</v>
      </c>
      <c r="E830" s="6"/>
      <c r="F830" s="6">
        <f t="shared" si="64"/>
        <v>0</v>
      </c>
      <c r="G830" s="149">
        <f>INDEX('Step 4 Stage Discharge'!E$26:F$126,MATCH(F830,'Step 4 Stage Discharge'!E$26:E$126,1),2)+(INDEX('Step 4 Stage Discharge'!E$26:F$126,MATCH(F830,'Step 4 Stage Discharge'!E$26:E$126,1)+1,2)-INDEX('Step 4 Stage Discharge'!E$26:F$126,MATCH(F830,'Step 4 Stage Discharge'!E$26:E$126,1),2))*(F830-INDEX('Step 4 Stage Discharge'!E$26:F$126,MATCH(F830,'Step 4 Stage Discharge'!E$26:E$126,1),1))/(INDEX('Step 4 Stage Discharge'!E$26:F$126,MATCH(F830,'Step 4 Stage Discharge'!E$26:E$126,1)+1,1)-INDEX('Step 4 Stage Discharge'!E$26:F$126,MATCH(F830,'Step 4 Stage Discharge'!E$26:E$126,1),1))</f>
        <v>0</v>
      </c>
      <c r="H830" s="149"/>
      <c r="I830" s="149">
        <f>INDEX('Step 4 Stage Discharge'!E$26:M$126,MATCH(F830,'Step 4 Stage Discharge'!E$26:E$126,1),9)+(INDEX('Step 4 Stage Discharge'!E$26:M$126,MATCH('Step 5 Routing'!F830,'Step 4 Stage Discharge'!E$26:E$126,1)+1,9)-INDEX('Step 4 Stage Discharge'!E$26:M$126,MATCH('Step 5 Routing'!F830,'Step 4 Stage Discharge'!E$26:E$126,1),9))*('Step 5 Routing'!F830-INDEX('Step 4 Stage Discharge'!E$26:M$126,MATCH('Step 5 Routing'!F830,'Step 4 Stage Discharge'!E$26:E$126,1),1))/(INDEX('Step 4 Stage Discharge'!E$26:M$126,MATCH('Step 5 Routing'!F830,'Step 4 Stage Discharge'!E$26:E$126,1)+1,1)-INDEX('Step 4 Stage Discharge'!E$26:M$126,MATCH('Step 5 Routing'!F830,'Step 4 Stage Discharge'!E$26:E$126,1),1))</f>
        <v>4.3639431710317386E-3</v>
      </c>
      <c r="J830" s="149"/>
      <c r="K830" s="6">
        <f t="shared" si="61"/>
        <v>0</v>
      </c>
      <c r="L830" s="6">
        <f t="shared" si="62"/>
        <v>0</v>
      </c>
    </row>
    <row r="831" spans="1:12">
      <c r="A831">
        <f t="shared" si="63"/>
        <v>818</v>
      </c>
      <c r="B831" s="136">
        <f>IF(C$5=Data!D$3,'Step 2 Inflow Hydrograph'!H875,IF(C$5=Data!D$4,'Step 2 Inflow Hydrograph'!I875,IF(C$5=Data!D$5,'Step 2 Inflow Hydrograph'!J875,'Step 2 Inflow Hydrograph'!K875)))</f>
        <v>0</v>
      </c>
      <c r="C831" s="127"/>
      <c r="D831" s="6">
        <f t="shared" si="60"/>
        <v>0</v>
      </c>
      <c r="E831" s="6"/>
      <c r="F831" s="6">
        <f t="shared" si="64"/>
        <v>0</v>
      </c>
      <c r="G831" s="149">
        <f>INDEX('Step 4 Stage Discharge'!E$26:F$126,MATCH(F831,'Step 4 Stage Discharge'!E$26:E$126,1),2)+(INDEX('Step 4 Stage Discharge'!E$26:F$126,MATCH(F831,'Step 4 Stage Discharge'!E$26:E$126,1)+1,2)-INDEX('Step 4 Stage Discharge'!E$26:F$126,MATCH(F831,'Step 4 Stage Discharge'!E$26:E$126,1),2))*(F831-INDEX('Step 4 Stage Discharge'!E$26:F$126,MATCH(F831,'Step 4 Stage Discharge'!E$26:E$126,1),1))/(INDEX('Step 4 Stage Discharge'!E$26:F$126,MATCH(F831,'Step 4 Stage Discharge'!E$26:E$126,1)+1,1)-INDEX('Step 4 Stage Discharge'!E$26:F$126,MATCH(F831,'Step 4 Stage Discharge'!E$26:E$126,1),1))</f>
        <v>0</v>
      </c>
      <c r="H831" s="149"/>
      <c r="I831" s="149">
        <f>INDEX('Step 4 Stage Discharge'!E$26:M$126,MATCH(F831,'Step 4 Stage Discharge'!E$26:E$126,1),9)+(INDEX('Step 4 Stage Discharge'!E$26:M$126,MATCH('Step 5 Routing'!F831,'Step 4 Stage Discharge'!E$26:E$126,1)+1,9)-INDEX('Step 4 Stage Discharge'!E$26:M$126,MATCH('Step 5 Routing'!F831,'Step 4 Stage Discharge'!E$26:E$126,1),9))*('Step 5 Routing'!F831-INDEX('Step 4 Stage Discharge'!E$26:M$126,MATCH('Step 5 Routing'!F831,'Step 4 Stage Discharge'!E$26:E$126,1),1))/(INDEX('Step 4 Stage Discharge'!E$26:M$126,MATCH('Step 5 Routing'!F831,'Step 4 Stage Discharge'!E$26:E$126,1)+1,1)-INDEX('Step 4 Stage Discharge'!E$26:M$126,MATCH('Step 5 Routing'!F831,'Step 4 Stage Discharge'!E$26:E$126,1),1))</f>
        <v>4.3639431710317386E-3</v>
      </c>
      <c r="J831" s="149"/>
      <c r="K831" s="6">
        <f t="shared" si="61"/>
        <v>0</v>
      </c>
      <c r="L831" s="6">
        <f t="shared" si="62"/>
        <v>0</v>
      </c>
    </row>
    <row r="832" spans="1:12">
      <c r="A832">
        <f t="shared" si="63"/>
        <v>819</v>
      </c>
      <c r="B832" s="136">
        <f>IF(C$5=Data!D$3,'Step 2 Inflow Hydrograph'!H876,IF(C$5=Data!D$4,'Step 2 Inflow Hydrograph'!I876,IF(C$5=Data!D$5,'Step 2 Inflow Hydrograph'!J876,'Step 2 Inflow Hydrograph'!K876)))</f>
        <v>0</v>
      </c>
      <c r="C832" s="127"/>
      <c r="D832" s="6">
        <f t="shared" si="60"/>
        <v>0</v>
      </c>
      <c r="E832" s="6"/>
      <c r="F832" s="6">
        <f t="shared" si="64"/>
        <v>0</v>
      </c>
      <c r="G832" s="149">
        <f>INDEX('Step 4 Stage Discharge'!E$26:F$126,MATCH(F832,'Step 4 Stage Discharge'!E$26:E$126,1),2)+(INDEX('Step 4 Stage Discharge'!E$26:F$126,MATCH(F832,'Step 4 Stage Discharge'!E$26:E$126,1)+1,2)-INDEX('Step 4 Stage Discharge'!E$26:F$126,MATCH(F832,'Step 4 Stage Discharge'!E$26:E$126,1),2))*(F832-INDEX('Step 4 Stage Discharge'!E$26:F$126,MATCH(F832,'Step 4 Stage Discharge'!E$26:E$126,1),1))/(INDEX('Step 4 Stage Discharge'!E$26:F$126,MATCH(F832,'Step 4 Stage Discharge'!E$26:E$126,1)+1,1)-INDEX('Step 4 Stage Discharge'!E$26:F$126,MATCH(F832,'Step 4 Stage Discharge'!E$26:E$126,1),1))</f>
        <v>0</v>
      </c>
      <c r="H832" s="149"/>
      <c r="I832" s="149">
        <f>INDEX('Step 4 Stage Discharge'!E$26:M$126,MATCH(F832,'Step 4 Stage Discharge'!E$26:E$126,1),9)+(INDEX('Step 4 Stage Discharge'!E$26:M$126,MATCH('Step 5 Routing'!F832,'Step 4 Stage Discharge'!E$26:E$126,1)+1,9)-INDEX('Step 4 Stage Discharge'!E$26:M$126,MATCH('Step 5 Routing'!F832,'Step 4 Stage Discharge'!E$26:E$126,1),9))*('Step 5 Routing'!F832-INDEX('Step 4 Stage Discharge'!E$26:M$126,MATCH('Step 5 Routing'!F832,'Step 4 Stage Discharge'!E$26:E$126,1),1))/(INDEX('Step 4 Stage Discharge'!E$26:M$126,MATCH('Step 5 Routing'!F832,'Step 4 Stage Discharge'!E$26:E$126,1)+1,1)-INDEX('Step 4 Stage Discharge'!E$26:M$126,MATCH('Step 5 Routing'!F832,'Step 4 Stage Discharge'!E$26:E$126,1),1))</f>
        <v>4.3639431710317386E-3</v>
      </c>
      <c r="J832" s="149"/>
      <c r="K832" s="6">
        <f t="shared" si="61"/>
        <v>0</v>
      </c>
      <c r="L832" s="6">
        <f t="shared" si="62"/>
        <v>0</v>
      </c>
    </row>
    <row r="833" spans="1:12">
      <c r="A833">
        <f t="shared" si="63"/>
        <v>820</v>
      </c>
      <c r="B833" s="136">
        <f>IF(C$5=Data!D$3,'Step 2 Inflow Hydrograph'!H877,IF(C$5=Data!D$4,'Step 2 Inflow Hydrograph'!I877,IF(C$5=Data!D$5,'Step 2 Inflow Hydrograph'!J877,'Step 2 Inflow Hydrograph'!K877)))</f>
        <v>0</v>
      </c>
      <c r="C833" s="127"/>
      <c r="D833" s="6">
        <f t="shared" si="60"/>
        <v>0</v>
      </c>
      <c r="E833" s="6"/>
      <c r="F833" s="6">
        <f t="shared" si="64"/>
        <v>0</v>
      </c>
      <c r="G833" s="149">
        <f>INDEX('Step 4 Stage Discharge'!E$26:F$126,MATCH(F833,'Step 4 Stage Discharge'!E$26:E$126,1),2)+(INDEX('Step 4 Stage Discharge'!E$26:F$126,MATCH(F833,'Step 4 Stage Discharge'!E$26:E$126,1)+1,2)-INDEX('Step 4 Stage Discharge'!E$26:F$126,MATCH(F833,'Step 4 Stage Discharge'!E$26:E$126,1),2))*(F833-INDEX('Step 4 Stage Discharge'!E$26:F$126,MATCH(F833,'Step 4 Stage Discharge'!E$26:E$126,1),1))/(INDEX('Step 4 Stage Discharge'!E$26:F$126,MATCH(F833,'Step 4 Stage Discharge'!E$26:E$126,1)+1,1)-INDEX('Step 4 Stage Discharge'!E$26:F$126,MATCH(F833,'Step 4 Stage Discharge'!E$26:E$126,1),1))</f>
        <v>0</v>
      </c>
      <c r="H833" s="149"/>
      <c r="I833" s="149">
        <f>INDEX('Step 4 Stage Discharge'!E$26:M$126,MATCH(F833,'Step 4 Stage Discharge'!E$26:E$126,1),9)+(INDEX('Step 4 Stage Discharge'!E$26:M$126,MATCH('Step 5 Routing'!F833,'Step 4 Stage Discharge'!E$26:E$126,1)+1,9)-INDEX('Step 4 Stage Discharge'!E$26:M$126,MATCH('Step 5 Routing'!F833,'Step 4 Stage Discharge'!E$26:E$126,1),9))*('Step 5 Routing'!F833-INDEX('Step 4 Stage Discharge'!E$26:M$126,MATCH('Step 5 Routing'!F833,'Step 4 Stage Discharge'!E$26:E$126,1),1))/(INDEX('Step 4 Stage Discharge'!E$26:M$126,MATCH('Step 5 Routing'!F833,'Step 4 Stage Discharge'!E$26:E$126,1)+1,1)-INDEX('Step 4 Stage Discharge'!E$26:M$126,MATCH('Step 5 Routing'!F833,'Step 4 Stage Discharge'!E$26:E$126,1),1))</f>
        <v>4.3639431710317386E-3</v>
      </c>
      <c r="J833" s="149"/>
      <c r="K833" s="6">
        <f t="shared" si="61"/>
        <v>0</v>
      </c>
      <c r="L833" s="6">
        <f t="shared" si="62"/>
        <v>0</v>
      </c>
    </row>
    <row r="834" spans="1:12">
      <c r="A834">
        <f t="shared" si="63"/>
        <v>821</v>
      </c>
      <c r="B834" s="136">
        <f>IF(C$5=Data!D$3,'Step 2 Inflow Hydrograph'!H878,IF(C$5=Data!D$4,'Step 2 Inflow Hydrograph'!I878,IF(C$5=Data!D$5,'Step 2 Inflow Hydrograph'!J878,'Step 2 Inflow Hydrograph'!K878)))</f>
        <v>0</v>
      </c>
      <c r="C834" s="127"/>
      <c r="D834" s="6">
        <f t="shared" si="60"/>
        <v>0</v>
      </c>
      <c r="E834" s="6"/>
      <c r="F834" s="6">
        <f t="shared" si="64"/>
        <v>0</v>
      </c>
      <c r="G834" s="149">
        <f>INDEX('Step 4 Stage Discharge'!E$26:F$126,MATCH(F834,'Step 4 Stage Discharge'!E$26:E$126,1),2)+(INDEX('Step 4 Stage Discharge'!E$26:F$126,MATCH(F834,'Step 4 Stage Discharge'!E$26:E$126,1)+1,2)-INDEX('Step 4 Stage Discharge'!E$26:F$126,MATCH(F834,'Step 4 Stage Discharge'!E$26:E$126,1),2))*(F834-INDEX('Step 4 Stage Discharge'!E$26:F$126,MATCH(F834,'Step 4 Stage Discharge'!E$26:E$126,1),1))/(INDEX('Step 4 Stage Discharge'!E$26:F$126,MATCH(F834,'Step 4 Stage Discharge'!E$26:E$126,1)+1,1)-INDEX('Step 4 Stage Discharge'!E$26:F$126,MATCH(F834,'Step 4 Stage Discharge'!E$26:E$126,1),1))</f>
        <v>0</v>
      </c>
      <c r="H834" s="149"/>
      <c r="I834" s="149">
        <f>INDEX('Step 4 Stage Discharge'!E$26:M$126,MATCH(F834,'Step 4 Stage Discharge'!E$26:E$126,1),9)+(INDEX('Step 4 Stage Discharge'!E$26:M$126,MATCH('Step 5 Routing'!F834,'Step 4 Stage Discharge'!E$26:E$126,1)+1,9)-INDEX('Step 4 Stage Discharge'!E$26:M$126,MATCH('Step 5 Routing'!F834,'Step 4 Stage Discharge'!E$26:E$126,1),9))*('Step 5 Routing'!F834-INDEX('Step 4 Stage Discharge'!E$26:M$126,MATCH('Step 5 Routing'!F834,'Step 4 Stage Discharge'!E$26:E$126,1),1))/(INDEX('Step 4 Stage Discharge'!E$26:M$126,MATCH('Step 5 Routing'!F834,'Step 4 Stage Discharge'!E$26:E$126,1)+1,1)-INDEX('Step 4 Stage Discharge'!E$26:M$126,MATCH('Step 5 Routing'!F834,'Step 4 Stage Discharge'!E$26:E$126,1),1))</f>
        <v>4.3639431710317386E-3</v>
      </c>
      <c r="J834" s="149"/>
      <c r="K834" s="6">
        <f t="shared" si="61"/>
        <v>0</v>
      </c>
      <c r="L834" s="6">
        <f t="shared" si="62"/>
        <v>0</v>
      </c>
    </row>
    <row r="835" spans="1:12">
      <c r="A835">
        <f t="shared" si="63"/>
        <v>822</v>
      </c>
      <c r="B835" s="136">
        <f>IF(C$5=Data!D$3,'Step 2 Inflow Hydrograph'!H879,IF(C$5=Data!D$4,'Step 2 Inflow Hydrograph'!I879,IF(C$5=Data!D$5,'Step 2 Inflow Hydrograph'!J879,'Step 2 Inflow Hydrograph'!K879)))</f>
        <v>0</v>
      </c>
      <c r="C835" s="127"/>
      <c r="D835" s="6">
        <f t="shared" si="60"/>
        <v>0</v>
      </c>
      <c r="E835" s="6"/>
      <c r="F835" s="6">
        <f t="shared" si="64"/>
        <v>0</v>
      </c>
      <c r="G835" s="149">
        <f>INDEX('Step 4 Stage Discharge'!E$26:F$126,MATCH(F835,'Step 4 Stage Discharge'!E$26:E$126,1),2)+(INDEX('Step 4 Stage Discharge'!E$26:F$126,MATCH(F835,'Step 4 Stage Discharge'!E$26:E$126,1)+1,2)-INDEX('Step 4 Stage Discharge'!E$26:F$126,MATCH(F835,'Step 4 Stage Discharge'!E$26:E$126,1),2))*(F835-INDEX('Step 4 Stage Discharge'!E$26:F$126,MATCH(F835,'Step 4 Stage Discharge'!E$26:E$126,1),1))/(INDEX('Step 4 Stage Discharge'!E$26:F$126,MATCH(F835,'Step 4 Stage Discharge'!E$26:E$126,1)+1,1)-INDEX('Step 4 Stage Discharge'!E$26:F$126,MATCH(F835,'Step 4 Stage Discharge'!E$26:E$126,1),1))</f>
        <v>0</v>
      </c>
      <c r="H835" s="149"/>
      <c r="I835" s="149">
        <f>INDEX('Step 4 Stage Discharge'!E$26:M$126,MATCH(F835,'Step 4 Stage Discharge'!E$26:E$126,1),9)+(INDEX('Step 4 Stage Discharge'!E$26:M$126,MATCH('Step 5 Routing'!F835,'Step 4 Stage Discharge'!E$26:E$126,1)+1,9)-INDEX('Step 4 Stage Discharge'!E$26:M$126,MATCH('Step 5 Routing'!F835,'Step 4 Stage Discharge'!E$26:E$126,1),9))*('Step 5 Routing'!F835-INDEX('Step 4 Stage Discharge'!E$26:M$126,MATCH('Step 5 Routing'!F835,'Step 4 Stage Discharge'!E$26:E$126,1),1))/(INDEX('Step 4 Stage Discharge'!E$26:M$126,MATCH('Step 5 Routing'!F835,'Step 4 Stage Discharge'!E$26:E$126,1)+1,1)-INDEX('Step 4 Stage Discharge'!E$26:M$126,MATCH('Step 5 Routing'!F835,'Step 4 Stage Discharge'!E$26:E$126,1),1))</f>
        <v>4.3639431710317386E-3</v>
      </c>
      <c r="J835" s="149"/>
      <c r="K835" s="6">
        <f t="shared" si="61"/>
        <v>0</v>
      </c>
      <c r="L835" s="6">
        <f t="shared" si="62"/>
        <v>0</v>
      </c>
    </row>
    <row r="836" spans="1:12">
      <c r="A836">
        <f t="shared" si="63"/>
        <v>823</v>
      </c>
      <c r="B836" s="136">
        <f>IF(C$5=Data!D$3,'Step 2 Inflow Hydrograph'!H880,IF(C$5=Data!D$4,'Step 2 Inflow Hydrograph'!I880,IF(C$5=Data!D$5,'Step 2 Inflow Hydrograph'!J880,'Step 2 Inflow Hydrograph'!K880)))</f>
        <v>0</v>
      </c>
      <c r="C836" s="127"/>
      <c r="D836" s="6">
        <f t="shared" si="60"/>
        <v>0</v>
      </c>
      <c r="E836" s="6"/>
      <c r="F836" s="6">
        <f t="shared" si="64"/>
        <v>0</v>
      </c>
      <c r="G836" s="149">
        <f>INDEX('Step 4 Stage Discharge'!E$26:F$126,MATCH(F836,'Step 4 Stage Discharge'!E$26:E$126,1),2)+(INDEX('Step 4 Stage Discharge'!E$26:F$126,MATCH(F836,'Step 4 Stage Discharge'!E$26:E$126,1)+1,2)-INDEX('Step 4 Stage Discharge'!E$26:F$126,MATCH(F836,'Step 4 Stage Discharge'!E$26:E$126,1),2))*(F836-INDEX('Step 4 Stage Discharge'!E$26:F$126,MATCH(F836,'Step 4 Stage Discharge'!E$26:E$126,1),1))/(INDEX('Step 4 Stage Discharge'!E$26:F$126,MATCH(F836,'Step 4 Stage Discharge'!E$26:E$126,1)+1,1)-INDEX('Step 4 Stage Discharge'!E$26:F$126,MATCH(F836,'Step 4 Stage Discharge'!E$26:E$126,1),1))</f>
        <v>0</v>
      </c>
      <c r="H836" s="149"/>
      <c r="I836" s="149">
        <f>INDEX('Step 4 Stage Discharge'!E$26:M$126,MATCH(F836,'Step 4 Stage Discharge'!E$26:E$126,1),9)+(INDEX('Step 4 Stage Discharge'!E$26:M$126,MATCH('Step 5 Routing'!F836,'Step 4 Stage Discharge'!E$26:E$126,1)+1,9)-INDEX('Step 4 Stage Discharge'!E$26:M$126,MATCH('Step 5 Routing'!F836,'Step 4 Stage Discharge'!E$26:E$126,1),9))*('Step 5 Routing'!F836-INDEX('Step 4 Stage Discharge'!E$26:M$126,MATCH('Step 5 Routing'!F836,'Step 4 Stage Discharge'!E$26:E$126,1),1))/(INDEX('Step 4 Stage Discharge'!E$26:M$126,MATCH('Step 5 Routing'!F836,'Step 4 Stage Discharge'!E$26:E$126,1)+1,1)-INDEX('Step 4 Stage Discharge'!E$26:M$126,MATCH('Step 5 Routing'!F836,'Step 4 Stage Discharge'!E$26:E$126,1),1))</f>
        <v>4.3639431710317386E-3</v>
      </c>
      <c r="J836" s="149"/>
      <c r="K836" s="6">
        <f t="shared" si="61"/>
        <v>0</v>
      </c>
      <c r="L836" s="6">
        <f t="shared" si="62"/>
        <v>0</v>
      </c>
    </row>
    <row r="837" spans="1:12">
      <c r="A837">
        <f t="shared" si="63"/>
        <v>824</v>
      </c>
      <c r="B837" s="136">
        <f>IF(C$5=Data!D$3,'Step 2 Inflow Hydrograph'!H881,IF(C$5=Data!D$4,'Step 2 Inflow Hydrograph'!I881,IF(C$5=Data!D$5,'Step 2 Inflow Hydrograph'!J881,'Step 2 Inflow Hydrograph'!K881)))</f>
        <v>0</v>
      </c>
      <c r="C837" s="127"/>
      <c r="D837" s="6">
        <f t="shared" si="60"/>
        <v>0</v>
      </c>
      <c r="E837" s="6"/>
      <c r="F837" s="6">
        <f t="shared" si="64"/>
        <v>0</v>
      </c>
      <c r="G837" s="149">
        <f>INDEX('Step 4 Stage Discharge'!E$26:F$126,MATCH(F837,'Step 4 Stage Discharge'!E$26:E$126,1),2)+(INDEX('Step 4 Stage Discharge'!E$26:F$126,MATCH(F837,'Step 4 Stage Discharge'!E$26:E$126,1)+1,2)-INDEX('Step 4 Stage Discharge'!E$26:F$126,MATCH(F837,'Step 4 Stage Discharge'!E$26:E$126,1),2))*(F837-INDEX('Step 4 Stage Discharge'!E$26:F$126,MATCH(F837,'Step 4 Stage Discharge'!E$26:E$126,1),1))/(INDEX('Step 4 Stage Discharge'!E$26:F$126,MATCH(F837,'Step 4 Stage Discharge'!E$26:E$126,1)+1,1)-INDEX('Step 4 Stage Discharge'!E$26:F$126,MATCH(F837,'Step 4 Stage Discharge'!E$26:E$126,1),1))</f>
        <v>0</v>
      </c>
      <c r="H837" s="149"/>
      <c r="I837" s="149">
        <f>INDEX('Step 4 Stage Discharge'!E$26:M$126,MATCH(F837,'Step 4 Stage Discharge'!E$26:E$126,1),9)+(INDEX('Step 4 Stage Discharge'!E$26:M$126,MATCH('Step 5 Routing'!F837,'Step 4 Stage Discharge'!E$26:E$126,1)+1,9)-INDEX('Step 4 Stage Discharge'!E$26:M$126,MATCH('Step 5 Routing'!F837,'Step 4 Stage Discharge'!E$26:E$126,1),9))*('Step 5 Routing'!F837-INDEX('Step 4 Stage Discharge'!E$26:M$126,MATCH('Step 5 Routing'!F837,'Step 4 Stage Discharge'!E$26:E$126,1),1))/(INDEX('Step 4 Stage Discharge'!E$26:M$126,MATCH('Step 5 Routing'!F837,'Step 4 Stage Discharge'!E$26:E$126,1)+1,1)-INDEX('Step 4 Stage Discharge'!E$26:M$126,MATCH('Step 5 Routing'!F837,'Step 4 Stage Discharge'!E$26:E$126,1),1))</f>
        <v>4.3639431710317386E-3</v>
      </c>
      <c r="J837" s="149"/>
      <c r="K837" s="6">
        <f t="shared" si="61"/>
        <v>0</v>
      </c>
      <c r="L837" s="6">
        <f t="shared" si="62"/>
        <v>0</v>
      </c>
    </row>
    <row r="838" spans="1:12">
      <c r="A838">
        <f t="shared" si="63"/>
        <v>825</v>
      </c>
      <c r="B838" s="136">
        <f>IF(C$5=Data!D$3,'Step 2 Inflow Hydrograph'!H882,IF(C$5=Data!D$4,'Step 2 Inflow Hydrograph'!I882,IF(C$5=Data!D$5,'Step 2 Inflow Hydrograph'!J882,'Step 2 Inflow Hydrograph'!K882)))</f>
        <v>0</v>
      </c>
      <c r="C838" s="127"/>
      <c r="D838" s="6">
        <f t="shared" si="60"/>
        <v>0</v>
      </c>
      <c r="E838" s="6"/>
      <c r="F838" s="6">
        <f t="shared" si="64"/>
        <v>0</v>
      </c>
      <c r="G838" s="149">
        <f>INDEX('Step 4 Stage Discharge'!E$26:F$126,MATCH(F838,'Step 4 Stage Discharge'!E$26:E$126,1),2)+(INDEX('Step 4 Stage Discharge'!E$26:F$126,MATCH(F838,'Step 4 Stage Discharge'!E$26:E$126,1)+1,2)-INDEX('Step 4 Stage Discharge'!E$26:F$126,MATCH(F838,'Step 4 Stage Discharge'!E$26:E$126,1),2))*(F838-INDEX('Step 4 Stage Discharge'!E$26:F$126,MATCH(F838,'Step 4 Stage Discharge'!E$26:E$126,1),1))/(INDEX('Step 4 Stage Discharge'!E$26:F$126,MATCH(F838,'Step 4 Stage Discharge'!E$26:E$126,1)+1,1)-INDEX('Step 4 Stage Discharge'!E$26:F$126,MATCH(F838,'Step 4 Stage Discharge'!E$26:E$126,1),1))</f>
        <v>0</v>
      </c>
      <c r="H838" s="149"/>
      <c r="I838" s="149">
        <f>INDEX('Step 4 Stage Discharge'!E$26:M$126,MATCH(F838,'Step 4 Stage Discharge'!E$26:E$126,1),9)+(INDEX('Step 4 Stage Discharge'!E$26:M$126,MATCH('Step 5 Routing'!F838,'Step 4 Stage Discharge'!E$26:E$126,1)+1,9)-INDEX('Step 4 Stage Discharge'!E$26:M$126,MATCH('Step 5 Routing'!F838,'Step 4 Stage Discharge'!E$26:E$126,1),9))*('Step 5 Routing'!F838-INDEX('Step 4 Stage Discharge'!E$26:M$126,MATCH('Step 5 Routing'!F838,'Step 4 Stage Discharge'!E$26:E$126,1),1))/(INDEX('Step 4 Stage Discharge'!E$26:M$126,MATCH('Step 5 Routing'!F838,'Step 4 Stage Discharge'!E$26:E$126,1)+1,1)-INDEX('Step 4 Stage Discharge'!E$26:M$126,MATCH('Step 5 Routing'!F838,'Step 4 Stage Discharge'!E$26:E$126,1),1))</f>
        <v>4.3639431710317386E-3</v>
      </c>
      <c r="J838" s="149"/>
      <c r="K838" s="6">
        <f t="shared" si="61"/>
        <v>0</v>
      </c>
      <c r="L838" s="6">
        <f t="shared" si="62"/>
        <v>0</v>
      </c>
    </row>
    <row r="839" spans="1:12">
      <c r="A839">
        <f t="shared" si="63"/>
        <v>826</v>
      </c>
      <c r="B839" s="136">
        <f>IF(C$5=Data!D$3,'Step 2 Inflow Hydrograph'!H883,IF(C$5=Data!D$4,'Step 2 Inflow Hydrograph'!I883,IF(C$5=Data!D$5,'Step 2 Inflow Hydrograph'!J883,'Step 2 Inflow Hydrograph'!K883)))</f>
        <v>0</v>
      </c>
      <c r="C839" s="127"/>
      <c r="D839" s="6">
        <f t="shared" si="60"/>
        <v>0</v>
      </c>
      <c r="E839" s="6"/>
      <c r="F839" s="6">
        <f t="shared" si="64"/>
        <v>0</v>
      </c>
      <c r="G839" s="149">
        <f>INDEX('Step 4 Stage Discharge'!E$26:F$126,MATCH(F839,'Step 4 Stage Discharge'!E$26:E$126,1),2)+(INDEX('Step 4 Stage Discharge'!E$26:F$126,MATCH(F839,'Step 4 Stage Discharge'!E$26:E$126,1)+1,2)-INDEX('Step 4 Stage Discharge'!E$26:F$126,MATCH(F839,'Step 4 Stage Discharge'!E$26:E$126,1),2))*(F839-INDEX('Step 4 Stage Discharge'!E$26:F$126,MATCH(F839,'Step 4 Stage Discharge'!E$26:E$126,1),1))/(INDEX('Step 4 Stage Discharge'!E$26:F$126,MATCH(F839,'Step 4 Stage Discharge'!E$26:E$126,1)+1,1)-INDEX('Step 4 Stage Discharge'!E$26:F$126,MATCH(F839,'Step 4 Stage Discharge'!E$26:E$126,1),1))</f>
        <v>0</v>
      </c>
      <c r="H839" s="149"/>
      <c r="I839" s="149">
        <f>INDEX('Step 4 Stage Discharge'!E$26:M$126,MATCH(F839,'Step 4 Stage Discharge'!E$26:E$126,1),9)+(INDEX('Step 4 Stage Discharge'!E$26:M$126,MATCH('Step 5 Routing'!F839,'Step 4 Stage Discharge'!E$26:E$126,1)+1,9)-INDEX('Step 4 Stage Discharge'!E$26:M$126,MATCH('Step 5 Routing'!F839,'Step 4 Stage Discharge'!E$26:E$126,1),9))*('Step 5 Routing'!F839-INDEX('Step 4 Stage Discharge'!E$26:M$126,MATCH('Step 5 Routing'!F839,'Step 4 Stage Discharge'!E$26:E$126,1),1))/(INDEX('Step 4 Stage Discharge'!E$26:M$126,MATCH('Step 5 Routing'!F839,'Step 4 Stage Discharge'!E$26:E$126,1)+1,1)-INDEX('Step 4 Stage Discharge'!E$26:M$126,MATCH('Step 5 Routing'!F839,'Step 4 Stage Discharge'!E$26:E$126,1),1))</f>
        <v>4.3639431710317386E-3</v>
      </c>
      <c r="J839" s="149"/>
      <c r="K839" s="6">
        <f t="shared" si="61"/>
        <v>0</v>
      </c>
      <c r="L839" s="6">
        <f t="shared" si="62"/>
        <v>0</v>
      </c>
    </row>
    <row r="840" spans="1:12">
      <c r="A840">
        <f t="shared" si="63"/>
        <v>827</v>
      </c>
      <c r="B840" s="136">
        <f>IF(C$5=Data!D$3,'Step 2 Inflow Hydrograph'!H884,IF(C$5=Data!D$4,'Step 2 Inflow Hydrograph'!I884,IF(C$5=Data!D$5,'Step 2 Inflow Hydrograph'!J884,'Step 2 Inflow Hydrograph'!K884)))</f>
        <v>0</v>
      </c>
      <c r="C840" s="127"/>
      <c r="D840" s="6">
        <f t="shared" si="60"/>
        <v>0</v>
      </c>
      <c r="E840" s="6"/>
      <c r="F840" s="6">
        <f t="shared" si="64"/>
        <v>0</v>
      </c>
      <c r="G840" s="149">
        <f>INDEX('Step 4 Stage Discharge'!E$26:F$126,MATCH(F840,'Step 4 Stage Discharge'!E$26:E$126,1),2)+(INDEX('Step 4 Stage Discharge'!E$26:F$126,MATCH(F840,'Step 4 Stage Discharge'!E$26:E$126,1)+1,2)-INDEX('Step 4 Stage Discharge'!E$26:F$126,MATCH(F840,'Step 4 Stage Discharge'!E$26:E$126,1),2))*(F840-INDEX('Step 4 Stage Discharge'!E$26:F$126,MATCH(F840,'Step 4 Stage Discharge'!E$26:E$126,1),1))/(INDEX('Step 4 Stage Discharge'!E$26:F$126,MATCH(F840,'Step 4 Stage Discharge'!E$26:E$126,1)+1,1)-INDEX('Step 4 Stage Discharge'!E$26:F$126,MATCH(F840,'Step 4 Stage Discharge'!E$26:E$126,1),1))</f>
        <v>0</v>
      </c>
      <c r="H840" s="149"/>
      <c r="I840" s="149">
        <f>INDEX('Step 4 Stage Discharge'!E$26:M$126,MATCH(F840,'Step 4 Stage Discharge'!E$26:E$126,1),9)+(INDEX('Step 4 Stage Discharge'!E$26:M$126,MATCH('Step 5 Routing'!F840,'Step 4 Stage Discharge'!E$26:E$126,1)+1,9)-INDEX('Step 4 Stage Discharge'!E$26:M$126,MATCH('Step 5 Routing'!F840,'Step 4 Stage Discharge'!E$26:E$126,1),9))*('Step 5 Routing'!F840-INDEX('Step 4 Stage Discharge'!E$26:M$126,MATCH('Step 5 Routing'!F840,'Step 4 Stage Discharge'!E$26:E$126,1),1))/(INDEX('Step 4 Stage Discharge'!E$26:M$126,MATCH('Step 5 Routing'!F840,'Step 4 Stage Discharge'!E$26:E$126,1)+1,1)-INDEX('Step 4 Stage Discharge'!E$26:M$126,MATCH('Step 5 Routing'!F840,'Step 4 Stage Discharge'!E$26:E$126,1),1))</f>
        <v>4.3639431710317386E-3</v>
      </c>
      <c r="J840" s="149"/>
      <c r="K840" s="6">
        <f t="shared" si="61"/>
        <v>0</v>
      </c>
      <c r="L840" s="6">
        <f t="shared" si="62"/>
        <v>0</v>
      </c>
    </row>
    <row r="841" spans="1:12">
      <c r="A841">
        <f t="shared" si="63"/>
        <v>828</v>
      </c>
      <c r="B841" s="136">
        <f>IF(C$5=Data!D$3,'Step 2 Inflow Hydrograph'!H885,IF(C$5=Data!D$4,'Step 2 Inflow Hydrograph'!I885,IF(C$5=Data!D$5,'Step 2 Inflow Hydrograph'!J885,'Step 2 Inflow Hydrograph'!K885)))</f>
        <v>0</v>
      </c>
      <c r="C841" s="127"/>
      <c r="D841" s="6">
        <f t="shared" si="60"/>
        <v>0</v>
      </c>
      <c r="E841" s="6"/>
      <c r="F841" s="6">
        <f t="shared" si="64"/>
        <v>0</v>
      </c>
      <c r="G841" s="149">
        <f>INDEX('Step 4 Stage Discharge'!E$26:F$126,MATCH(F841,'Step 4 Stage Discharge'!E$26:E$126,1),2)+(INDEX('Step 4 Stage Discharge'!E$26:F$126,MATCH(F841,'Step 4 Stage Discharge'!E$26:E$126,1)+1,2)-INDEX('Step 4 Stage Discharge'!E$26:F$126,MATCH(F841,'Step 4 Stage Discharge'!E$26:E$126,1),2))*(F841-INDEX('Step 4 Stage Discharge'!E$26:F$126,MATCH(F841,'Step 4 Stage Discharge'!E$26:E$126,1),1))/(INDEX('Step 4 Stage Discharge'!E$26:F$126,MATCH(F841,'Step 4 Stage Discharge'!E$26:E$126,1)+1,1)-INDEX('Step 4 Stage Discharge'!E$26:F$126,MATCH(F841,'Step 4 Stage Discharge'!E$26:E$126,1),1))</f>
        <v>0</v>
      </c>
      <c r="H841" s="149"/>
      <c r="I841" s="149">
        <f>INDEX('Step 4 Stage Discharge'!E$26:M$126,MATCH(F841,'Step 4 Stage Discharge'!E$26:E$126,1),9)+(INDEX('Step 4 Stage Discharge'!E$26:M$126,MATCH('Step 5 Routing'!F841,'Step 4 Stage Discharge'!E$26:E$126,1)+1,9)-INDEX('Step 4 Stage Discharge'!E$26:M$126,MATCH('Step 5 Routing'!F841,'Step 4 Stage Discharge'!E$26:E$126,1),9))*('Step 5 Routing'!F841-INDEX('Step 4 Stage Discharge'!E$26:M$126,MATCH('Step 5 Routing'!F841,'Step 4 Stage Discharge'!E$26:E$126,1),1))/(INDEX('Step 4 Stage Discharge'!E$26:M$126,MATCH('Step 5 Routing'!F841,'Step 4 Stage Discharge'!E$26:E$126,1)+1,1)-INDEX('Step 4 Stage Discharge'!E$26:M$126,MATCH('Step 5 Routing'!F841,'Step 4 Stage Discharge'!E$26:E$126,1),1))</f>
        <v>4.3639431710317386E-3</v>
      </c>
      <c r="J841" s="149"/>
      <c r="K841" s="6">
        <f t="shared" si="61"/>
        <v>0</v>
      </c>
      <c r="L841" s="6">
        <f t="shared" si="62"/>
        <v>0</v>
      </c>
    </row>
    <row r="842" spans="1:12">
      <c r="A842">
        <f t="shared" si="63"/>
        <v>829</v>
      </c>
      <c r="B842" s="136">
        <f>IF(C$5=Data!D$3,'Step 2 Inflow Hydrograph'!H886,IF(C$5=Data!D$4,'Step 2 Inflow Hydrograph'!I886,IF(C$5=Data!D$5,'Step 2 Inflow Hydrograph'!J886,'Step 2 Inflow Hydrograph'!K886)))</f>
        <v>0</v>
      </c>
      <c r="C842" s="127"/>
      <c r="D842" s="6">
        <f t="shared" si="60"/>
        <v>0</v>
      </c>
      <c r="E842" s="6"/>
      <c r="F842" s="6">
        <f t="shared" si="64"/>
        <v>0</v>
      </c>
      <c r="G842" s="149">
        <f>INDEX('Step 4 Stage Discharge'!E$26:F$126,MATCH(F842,'Step 4 Stage Discharge'!E$26:E$126,1),2)+(INDEX('Step 4 Stage Discharge'!E$26:F$126,MATCH(F842,'Step 4 Stage Discharge'!E$26:E$126,1)+1,2)-INDEX('Step 4 Stage Discharge'!E$26:F$126,MATCH(F842,'Step 4 Stage Discharge'!E$26:E$126,1),2))*(F842-INDEX('Step 4 Stage Discharge'!E$26:F$126,MATCH(F842,'Step 4 Stage Discharge'!E$26:E$126,1),1))/(INDEX('Step 4 Stage Discharge'!E$26:F$126,MATCH(F842,'Step 4 Stage Discharge'!E$26:E$126,1)+1,1)-INDEX('Step 4 Stage Discharge'!E$26:F$126,MATCH(F842,'Step 4 Stage Discharge'!E$26:E$126,1),1))</f>
        <v>0</v>
      </c>
      <c r="H842" s="149"/>
      <c r="I842" s="149">
        <f>INDEX('Step 4 Stage Discharge'!E$26:M$126,MATCH(F842,'Step 4 Stage Discharge'!E$26:E$126,1),9)+(INDEX('Step 4 Stage Discharge'!E$26:M$126,MATCH('Step 5 Routing'!F842,'Step 4 Stage Discharge'!E$26:E$126,1)+1,9)-INDEX('Step 4 Stage Discharge'!E$26:M$126,MATCH('Step 5 Routing'!F842,'Step 4 Stage Discharge'!E$26:E$126,1),9))*('Step 5 Routing'!F842-INDEX('Step 4 Stage Discharge'!E$26:M$126,MATCH('Step 5 Routing'!F842,'Step 4 Stage Discharge'!E$26:E$126,1),1))/(INDEX('Step 4 Stage Discharge'!E$26:M$126,MATCH('Step 5 Routing'!F842,'Step 4 Stage Discharge'!E$26:E$126,1)+1,1)-INDEX('Step 4 Stage Discharge'!E$26:M$126,MATCH('Step 5 Routing'!F842,'Step 4 Stage Discharge'!E$26:E$126,1),1))</f>
        <v>4.3639431710317386E-3</v>
      </c>
      <c r="J842" s="149"/>
      <c r="K842" s="6">
        <f t="shared" si="61"/>
        <v>0</v>
      </c>
      <c r="L842" s="6">
        <f t="shared" si="62"/>
        <v>0</v>
      </c>
    </row>
    <row r="843" spans="1:12">
      <c r="A843">
        <f t="shared" si="63"/>
        <v>830</v>
      </c>
      <c r="B843" s="136">
        <f>IF(C$5=Data!D$3,'Step 2 Inflow Hydrograph'!H887,IF(C$5=Data!D$4,'Step 2 Inflow Hydrograph'!I887,IF(C$5=Data!D$5,'Step 2 Inflow Hydrograph'!J887,'Step 2 Inflow Hydrograph'!K887)))</f>
        <v>0</v>
      </c>
      <c r="C843" s="127"/>
      <c r="D843" s="6">
        <f t="shared" si="60"/>
        <v>0</v>
      </c>
      <c r="E843" s="6"/>
      <c r="F843" s="6">
        <f t="shared" si="64"/>
        <v>0</v>
      </c>
      <c r="G843" s="149">
        <f>INDEX('Step 4 Stage Discharge'!E$26:F$126,MATCH(F843,'Step 4 Stage Discharge'!E$26:E$126,1),2)+(INDEX('Step 4 Stage Discharge'!E$26:F$126,MATCH(F843,'Step 4 Stage Discharge'!E$26:E$126,1)+1,2)-INDEX('Step 4 Stage Discharge'!E$26:F$126,MATCH(F843,'Step 4 Stage Discharge'!E$26:E$126,1),2))*(F843-INDEX('Step 4 Stage Discharge'!E$26:F$126,MATCH(F843,'Step 4 Stage Discharge'!E$26:E$126,1),1))/(INDEX('Step 4 Stage Discharge'!E$26:F$126,MATCH(F843,'Step 4 Stage Discharge'!E$26:E$126,1)+1,1)-INDEX('Step 4 Stage Discharge'!E$26:F$126,MATCH(F843,'Step 4 Stage Discharge'!E$26:E$126,1),1))</f>
        <v>0</v>
      </c>
      <c r="H843" s="149"/>
      <c r="I843" s="149">
        <f>INDEX('Step 4 Stage Discharge'!E$26:M$126,MATCH(F843,'Step 4 Stage Discharge'!E$26:E$126,1),9)+(INDEX('Step 4 Stage Discharge'!E$26:M$126,MATCH('Step 5 Routing'!F843,'Step 4 Stage Discharge'!E$26:E$126,1)+1,9)-INDEX('Step 4 Stage Discharge'!E$26:M$126,MATCH('Step 5 Routing'!F843,'Step 4 Stage Discharge'!E$26:E$126,1),9))*('Step 5 Routing'!F843-INDEX('Step 4 Stage Discharge'!E$26:M$126,MATCH('Step 5 Routing'!F843,'Step 4 Stage Discharge'!E$26:E$126,1),1))/(INDEX('Step 4 Stage Discharge'!E$26:M$126,MATCH('Step 5 Routing'!F843,'Step 4 Stage Discharge'!E$26:E$126,1)+1,1)-INDEX('Step 4 Stage Discharge'!E$26:M$126,MATCH('Step 5 Routing'!F843,'Step 4 Stage Discharge'!E$26:E$126,1),1))</f>
        <v>4.3639431710317386E-3</v>
      </c>
      <c r="J843" s="149"/>
      <c r="K843" s="6">
        <f t="shared" si="61"/>
        <v>0</v>
      </c>
      <c r="L843" s="6">
        <f t="shared" si="62"/>
        <v>0</v>
      </c>
    </row>
    <row r="844" spans="1:12">
      <c r="A844">
        <f t="shared" si="63"/>
        <v>831</v>
      </c>
      <c r="B844" s="136">
        <f>IF(C$5=Data!D$3,'Step 2 Inflow Hydrograph'!H888,IF(C$5=Data!D$4,'Step 2 Inflow Hydrograph'!I888,IF(C$5=Data!D$5,'Step 2 Inflow Hydrograph'!J888,'Step 2 Inflow Hydrograph'!K888)))</f>
        <v>0</v>
      </c>
      <c r="C844" s="127"/>
      <c r="D844" s="6">
        <f t="shared" si="60"/>
        <v>0</v>
      </c>
      <c r="E844" s="6"/>
      <c r="F844" s="6">
        <f t="shared" si="64"/>
        <v>0</v>
      </c>
      <c r="G844" s="149">
        <f>INDEX('Step 4 Stage Discharge'!E$26:F$126,MATCH(F844,'Step 4 Stage Discharge'!E$26:E$126,1),2)+(INDEX('Step 4 Stage Discharge'!E$26:F$126,MATCH(F844,'Step 4 Stage Discharge'!E$26:E$126,1)+1,2)-INDEX('Step 4 Stage Discharge'!E$26:F$126,MATCH(F844,'Step 4 Stage Discharge'!E$26:E$126,1),2))*(F844-INDEX('Step 4 Stage Discharge'!E$26:F$126,MATCH(F844,'Step 4 Stage Discharge'!E$26:E$126,1),1))/(INDEX('Step 4 Stage Discharge'!E$26:F$126,MATCH(F844,'Step 4 Stage Discharge'!E$26:E$126,1)+1,1)-INDEX('Step 4 Stage Discharge'!E$26:F$126,MATCH(F844,'Step 4 Stage Discharge'!E$26:E$126,1),1))</f>
        <v>0</v>
      </c>
      <c r="H844" s="149"/>
      <c r="I844" s="149">
        <f>INDEX('Step 4 Stage Discharge'!E$26:M$126,MATCH(F844,'Step 4 Stage Discharge'!E$26:E$126,1),9)+(INDEX('Step 4 Stage Discharge'!E$26:M$126,MATCH('Step 5 Routing'!F844,'Step 4 Stage Discharge'!E$26:E$126,1)+1,9)-INDEX('Step 4 Stage Discharge'!E$26:M$126,MATCH('Step 5 Routing'!F844,'Step 4 Stage Discharge'!E$26:E$126,1),9))*('Step 5 Routing'!F844-INDEX('Step 4 Stage Discharge'!E$26:M$126,MATCH('Step 5 Routing'!F844,'Step 4 Stage Discharge'!E$26:E$126,1),1))/(INDEX('Step 4 Stage Discharge'!E$26:M$126,MATCH('Step 5 Routing'!F844,'Step 4 Stage Discharge'!E$26:E$126,1)+1,1)-INDEX('Step 4 Stage Discharge'!E$26:M$126,MATCH('Step 5 Routing'!F844,'Step 4 Stage Discharge'!E$26:E$126,1),1))</f>
        <v>4.3639431710317386E-3</v>
      </c>
      <c r="J844" s="149"/>
      <c r="K844" s="6">
        <f t="shared" si="61"/>
        <v>0</v>
      </c>
      <c r="L844" s="6">
        <f t="shared" si="62"/>
        <v>0</v>
      </c>
    </row>
    <row r="845" spans="1:12">
      <c r="A845">
        <f t="shared" si="63"/>
        <v>832</v>
      </c>
      <c r="B845" s="136">
        <f>IF(C$5=Data!D$3,'Step 2 Inflow Hydrograph'!H889,IF(C$5=Data!D$4,'Step 2 Inflow Hydrograph'!I889,IF(C$5=Data!D$5,'Step 2 Inflow Hydrograph'!J889,'Step 2 Inflow Hydrograph'!K889)))</f>
        <v>0</v>
      </c>
      <c r="C845" s="127"/>
      <c r="D845" s="6">
        <f t="shared" ref="D845:D913" si="65">IF(B845="",0,B845*D$8*60)</f>
        <v>0</v>
      </c>
      <c r="E845" s="6"/>
      <c r="F845" s="6">
        <f t="shared" si="64"/>
        <v>0</v>
      </c>
      <c r="G845" s="149">
        <f>INDEX('Step 4 Stage Discharge'!E$26:F$126,MATCH(F845,'Step 4 Stage Discharge'!E$26:E$126,1),2)+(INDEX('Step 4 Stage Discharge'!E$26:F$126,MATCH(F845,'Step 4 Stage Discharge'!E$26:E$126,1)+1,2)-INDEX('Step 4 Stage Discharge'!E$26:F$126,MATCH(F845,'Step 4 Stage Discharge'!E$26:E$126,1),2))*(F845-INDEX('Step 4 Stage Discharge'!E$26:F$126,MATCH(F845,'Step 4 Stage Discharge'!E$26:E$126,1),1))/(INDEX('Step 4 Stage Discharge'!E$26:F$126,MATCH(F845,'Step 4 Stage Discharge'!E$26:E$126,1)+1,1)-INDEX('Step 4 Stage Discharge'!E$26:F$126,MATCH(F845,'Step 4 Stage Discharge'!E$26:E$126,1),1))</f>
        <v>0</v>
      </c>
      <c r="H845" s="149"/>
      <c r="I845" s="149">
        <f>INDEX('Step 4 Stage Discharge'!E$26:M$126,MATCH(F845,'Step 4 Stage Discharge'!E$26:E$126,1),9)+(INDEX('Step 4 Stage Discharge'!E$26:M$126,MATCH('Step 5 Routing'!F845,'Step 4 Stage Discharge'!E$26:E$126,1)+1,9)-INDEX('Step 4 Stage Discharge'!E$26:M$126,MATCH('Step 5 Routing'!F845,'Step 4 Stage Discharge'!E$26:E$126,1),9))*('Step 5 Routing'!F845-INDEX('Step 4 Stage Discharge'!E$26:M$126,MATCH('Step 5 Routing'!F845,'Step 4 Stage Discharge'!E$26:E$126,1),1))/(INDEX('Step 4 Stage Discharge'!E$26:M$126,MATCH('Step 5 Routing'!F845,'Step 4 Stage Discharge'!E$26:E$126,1)+1,1)-INDEX('Step 4 Stage Discharge'!E$26:M$126,MATCH('Step 5 Routing'!F845,'Step 4 Stage Discharge'!E$26:E$126,1),1))</f>
        <v>4.3639431710317386E-3</v>
      </c>
      <c r="J845" s="149"/>
      <c r="K845" s="6">
        <f t="shared" ref="K845:K913" si="66">IF(I845*60*D$8&gt;F845,F845,I845*60*D$8)</f>
        <v>0</v>
      </c>
      <c r="L845" s="6">
        <f t="shared" ref="L845:L908" si="67">IF(F845-K845&lt;0,0,F845-K845)</f>
        <v>0</v>
      </c>
    </row>
    <row r="846" spans="1:12">
      <c r="A846">
        <f t="shared" ref="A846:A913" si="68">+A845+D$8</f>
        <v>833</v>
      </c>
      <c r="B846" s="136">
        <f>IF(C$5=Data!D$3,'Step 2 Inflow Hydrograph'!H890,IF(C$5=Data!D$4,'Step 2 Inflow Hydrograph'!I890,IF(C$5=Data!D$5,'Step 2 Inflow Hydrograph'!J890,'Step 2 Inflow Hydrograph'!K890)))</f>
        <v>0</v>
      </c>
      <c r="C846" s="127"/>
      <c r="D846" s="6">
        <f t="shared" si="65"/>
        <v>0</v>
      </c>
      <c r="E846" s="6"/>
      <c r="F846" s="6">
        <f t="shared" ref="F846:F913" si="69">+L845+D846</f>
        <v>0</v>
      </c>
      <c r="G846" s="149">
        <f>INDEX('Step 4 Stage Discharge'!E$26:F$126,MATCH(F846,'Step 4 Stage Discharge'!E$26:E$126,1),2)+(INDEX('Step 4 Stage Discharge'!E$26:F$126,MATCH(F846,'Step 4 Stage Discharge'!E$26:E$126,1)+1,2)-INDEX('Step 4 Stage Discharge'!E$26:F$126,MATCH(F846,'Step 4 Stage Discharge'!E$26:E$126,1),2))*(F846-INDEX('Step 4 Stage Discharge'!E$26:F$126,MATCH(F846,'Step 4 Stage Discharge'!E$26:E$126,1),1))/(INDEX('Step 4 Stage Discharge'!E$26:F$126,MATCH(F846,'Step 4 Stage Discharge'!E$26:E$126,1)+1,1)-INDEX('Step 4 Stage Discharge'!E$26:F$126,MATCH(F846,'Step 4 Stage Discharge'!E$26:E$126,1),1))</f>
        <v>0</v>
      </c>
      <c r="H846" s="149"/>
      <c r="I846" s="149">
        <f>INDEX('Step 4 Stage Discharge'!E$26:M$126,MATCH(F846,'Step 4 Stage Discharge'!E$26:E$126,1),9)+(INDEX('Step 4 Stage Discharge'!E$26:M$126,MATCH('Step 5 Routing'!F846,'Step 4 Stage Discharge'!E$26:E$126,1)+1,9)-INDEX('Step 4 Stage Discharge'!E$26:M$126,MATCH('Step 5 Routing'!F846,'Step 4 Stage Discharge'!E$26:E$126,1),9))*('Step 5 Routing'!F846-INDEX('Step 4 Stage Discharge'!E$26:M$126,MATCH('Step 5 Routing'!F846,'Step 4 Stage Discharge'!E$26:E$126,1),1))/(INDEX('Step 4 Stage Discharge'!E$26:M$126,MATCH('Step 5 Routing'!F846,'Step 4 Stage Discharge'!E$26:E$126,1)+1,1)-INDEX('Step 4 Stage Discharge'!E$26:M$126,MATCH('Step 5 Routing'!F846,'Step 4 Stage Discharge'!E$26:E$126,1),1))</f>
        <v>4.3639431710317386E-3</v>
      </c>
      <c r="J846" s="149"/>
      <c r="K846" s="6">
        <f t="shared" si="66"/>
        <v>0</v>
      </c>
      <c r="L846" s="6">
        <f t="shared" si="67"/>
        <v>0</v>
      </c>
    </row>
    <row r="847" spans="1:12">
      <c r="A847">
        <f t="shared" si="68"/>
        <v>834</v>
      </c>
      <c r="B847" s="136">
        <f>IF(C$5=Data!D$3,'Step 2 Inflow Hydrograph'!H891,IF(C$5=Data!D$4,'Step 2 Inflow Hydrograph'!I891,IF(C$5=Data!D$5,'Step 2 Inflow Hydrograph'!J891,'Step 2 Inflow Hydrograph'!K891)))</f>
        <v>0</v>
      </c>
      <c r="C847" s="127"/>
      <c r="D847" s="6">
        <f t="shared" si="65"/>
        <v>0</v>
      </c>
      <c r="E847" s="6"/>
      <c r="F847" s="6">
        <f t="shared" si="69"/>
        <v>0</v>
      </c>
      <c r="G847" s="149">
        <f>INDEX('Step 4 Stage Discharge'!E$26:F$126,MATCH(F847,'Step 4 Stage Discharge'!E$26:E$126,1),2)+(INDEX('Step 4 Stage Discharge'!E$26:F$126,MATCH(F847,'Step 4 Stage Discharge'!E$26:E$126,1)+1,2)-INDEX('Step 4 Stage Discharge'!E$26:F$126,MATCH(F847,'Step 4 Stage Discharge'!E$26:E$126,1),2))*(F847-INDEX('Step 4 Stage Discharge'!E$26:F$126,MATCH(F847,'Step 4 Stage Discharge'!E$26:E$126,1),1))/(INDEX('Step 4 Stage Discharge'!E$26:F$126,MATCH(F847,'Step 4 Stage Discharge'!E$26:E$126,1)+1,1)-INDEX('Step 4 Stage Discharge'!E$26:F$126,MATCH(F847,'Step 4 Stage Discharge'!E$26:E$126,1),1))</f>
        <v>0</v>
      </c>
      <c r="H847" s="149"/>
      <c r="I847" s="149">
        <f>INDEX('Step 4 Stage Discharge'!E$26:M$126,MATCH(F847,'Step 4 Stage Discharge'!E$26:E$126,1),9)+(INDEX('Step 4 Stage Discharge'!E$26:M$126,MATCH('Step 5 Routing'!F847,'Step 4 Stage Discharge'!E$26:E$126,1)+1,9)-INDEX('Step 4 Stage Discharge'!E$26:M$126,MATCH('Step 5 Routing'!F847,'Step 4 Stage Discharge'!E$26:E$126,1),9))*('Step 5 Routing'!F847-INDEX('Step 4 Stage Discharge'!E$26:M$126,MATCH('Step 5 Routing'!F847,'Step 4 Stage Discharge'!E$26:E$126,1),1))/(INDEX('Step 4 Stage Discharge'!E$26:M$126,MATCH('Step 5 Routing'!F847,'Step 4 Stage Discharge'!E$26:E$126,1)+1,1)-INDEX('Step 4 Stage Discharge'!E$26:M$126,MATCH('Step 5 Routing'!F847,'Step 4 Stage Discharge'!E$26:E$126,1),1))</f>
        <v>4.3639431710317386E-3</v>
      </c>
      <c r="J847" s="149"/>
      <c r="K847" s="6">
        <f t="shared" si="66"/>
        <v>0</v>
      </c>
      <c r="L847" s="6">
        <f t="shared" si="67"/>
        <v>0</v>
      </c>
    </row>
    <row r="848" spans="1:12">
      <c r="A848">
        <f t="shared" si="68"/>
        <v>835</v>
      </c>
      <c r="B848" s="136">
        <f>IF(C$5=Data!D$3,'Step 2 Inflow Hydrograph'!H892,IF(C$5=Data!D$4,'Step 2 Inflow Hydrograph'!I892,IF(C$5=Data!D$5,'Step 2 Inflow Hydrograph'!J892,'Step 2 Inflow Hydrograph'!K892)))</f>
        <v>0</v>
      </c>
      <c r="C848" s="127"/>
      <c r="D848" s="6">
        <f t="shared" si="65"/>
        <v>0</v>
      </c>
      <c r="E848" s="6"/>
      <c r="F848" s="6">
        <f t="shared" si="69"/>
        <v>0</v>
      </c>
      <c r="G848" s="149">
        <f>INDEX('Step 4 Stage Discharge'!E$26:F$126,MATCH(F848,'Step 4 Stage Discharge'!E$26:E$126,1),2)+(INDEX('Step 4 Stage Discharge'!E$26:F$126,MATCH(F848,'Step 4 Stage Discharge'!E$26:E$126,1)+1,2)-INDEX('Step 4 Stage Discharge'!E$26:F$126,MATCH(F848,'Step 4 Stage Discharge'!E$26:E$126,1),2))*(F848-INDEX('Step 4 Stage Discharge'!E$26:F$126,MATCH(F848,'Step 4 Stage Discharge'!E$26:E$126,1),1))/(INDEX('Step 4 Stage Discharge'!E$26:F$126,MATCH(F848,'Step 4 Stage Discharge'!E$26:E$126,1)+1,1)-INDEX('Step 4 Stage Discharge'!E$26:F$126,MATCH(F848,'Step 4 Stage Discharge'!E$26:E$126,1),1))</f>
        <v>0</v>
      </c>
      <c r="H848" s="149"/>
      <c r="I848" s="149">
        <f>INDEX('Step 4 Stage Discharge'!E$26:M$126,MATCH(F848,'Step 4 Stage Discharge'!E$26:E$126,1),9)+(INDEX('Step 4 Stage Discharge'!E$26:M$126,MATCH('Step 5 Routing'!F848,'Step 4 Stage Discharge'!E$26:E$126,1)+1,9)-INDEX('Step 4 Stage Discharge'!E$26:M$126,MATCH('Step 5 Routing'!F848,'Step 4 Stage Discharge'!E$26:E$126,1),9))*('Step 5 Routing'!F848-INDEX('Step 4 Stage Discharge'!E$26:M$126,MATCH('Step 5 Routing'!F848,'Step 4 Stage Discharge'!E$26:E$126,1),1))/(INDEX('Step 4 Stage Discharge'!E$26:M$126,MATCH('Step 5 Routing'!F848,'Step 4 Stage Discharge'!E$26:E$126,1)+1,1)-INDEX('Step 4 Stage Discharge'!E$26:M$126,MATCH('Step 5 Routing'!F848,'Step 4 Stage Discharge'!E$26:E$126,1),1))</f>
        <v>4.3639431710317386E-3</v>
      </c>
      <c r="J848" s="149"/>
      <c r="K848" s="6">
        <f t="shared" si="66"/>
        <v>0</v>
      </c>
      <c r="L848" s="6">
        <f t="shared" si="67"/>
        <v>0</v>
      </c>
    </row>
    <row r="849" spans="1:12">
      <c r="A849">
        <f t="shared" si="68"/>
        <v>836</v>
      </c>
      <c r="B849" s="136">
        <f>IF(C$5=Data!D$3,'Step 2 Inflow Hydrograph'!H893,IF(C$5=Data!D$4,'Step 2 Inflow Hydrograph'!I893,IF(C$5=Data!D$5,'Step 2 Inflow Hydrograph'!J893,'Step 2 Inflow Hydrograph'!K893)))</f>
        <v>0</v>
      </c>
      <c r="C849" s="127"/>
      <c r="D849" s="6">
        <f t="shared" si="65"/>
        <v>0</v>
      </c>
      <c r="E849" s="6"/>
      <c r="F849" s="6">
        <f t="shared" si="69"/>
        <v>0</v>
      </c>
      <c r="G849" s="149">
        <f>INDEX('Step 4 Stage Discharge'!E$26:F$126,MATCH(F849,'Step 4 Stage Discharge'!E$26:E$126,1),2)+(INDEX('Step 4 Stage Discharge'!E$26:F$126,MATCH(F849,'Step 4 Stage Discharge'!E$26:E$126,1)+1,2)-INDEX('Step 4 Stage Discharge'!E$26:F$126,MATCH(F849,'Step 4 Stage Discharge'!E$26:E$126,1),2))*(F849-INDEX('Step 4 Stage Discharge'!E$26:F$126,MATCH(F849,'Step 4 Stage Discharge'!E$26:E$126,1),1))/(INDEX('Step 4 Stage Discharge'!E$26:F$126,MATCH(F849,'Step 4 Stage Discharge'!E$26:E$126,1)+1,1)-INDEX('Step 4 Stage Discharge'!E$26:F$126,MATCH(F849,'Step 4 Stage Discharge'!E$26:E$126,1),1))</f>
        <v>0</v>
      </c>
      <c r="H849" s="149"/>
      <c r="I849" s="149">
        <f>INDEX('Step 4 Stage Discharge'!E$26:M$126,MATCH(F849,'Step 4 Stage Discharge'!E$26:E$126,1),9)+(INDEX('Step 4 Stage Discharge'!E$26:M$126,MATCH('Step 5 Routing'!F849,'Step 4 Stage Discharge'!E$26:E$126,1)+1,9)-INDEX('Step 4 Stage Discharge'!E$26:M$126,MATCH('Step 5 Routing'!F849,'Step 4 Stage Discharge'!E$26:E$126,1),9))*('Step 5 Routing'!F849-INDEX('Step 4 Stage Discharge'!E$26:M$126,MATCH('Step 5 Routing'!F849,'Step 4 Stage Discharge'!E$26:E$126,1),1))/(INDEX('Step 4 Stage Discharge'!E$26:M$126,MATCH('Step 5 Routing'!F849,'Step 4 Stage Discharge'!E$26:E$126,1)+1,1)-INDEX('Step 4 Stage Discharge'!E$26:M$126,MATCH('Step 5 Routing'!F849,'Step 4 Stage Discharge'!E$26:E$126,1),1))</f>
        <v>4.3639431710317386E-3</v>
      </c>
      <c r="J849" s="149"/>
      <c r="K849" s="6">
        <f t="shared" si="66"/>
        <v>0</v>
      </c>
      <c r="L849" s="6">
        <f t="shared" si="67"/>
        <v>0</v>
      </c>
    </row>
    <row r="850" spans="1:12">
      <c r="A850">
        <f t="shared" si="68"/>
        <v>837</v>
      </c>
      <c r="B850" s="136">
        <f>IF(C$5=Data!D$3,'Step 2 Inflow Hydrograph'!H894,IF(C$5=Data!D$4,'Step 2 Inflow Hydrograph'!I894,IF(C$5=Data!D$5,'Step 2 Inflow Hydrograph'!J894,'Step 2 Inflow Hydrograph'!K894)))</f>
        <v>0</v>
      </c>
      <c r="C850" s="127"/>
      <c r="D850" s="6">
        <f t="shared" si="65"/>
        <v>0</v>
      </c>
      <c r="E850" s="6"/>
      <c r="F850" s="6">
        <f t="shared" si="69"/>
        <v>0</v>
      </c>
      <c r="G850" s="149">
        <f>INDEX('Step 4 Stage Discharge'!E$26:F$126,MATCH(F850,'Step 4 Stage Discharge'!E$26:E$126,1),2)+(INDEX('Step 4 Stage Discharge'!E$26:F$126,MATCH(F850,'Step 4 Stage Discharge'!E$26:E$126,1)+1,2)-INDEX('Step 4 Stage Discharge'!E$26:F$126,MATCH(F850,'Step 4 Stage Discharge'!E$26:E$126,1),2))*(F850-INDEX('Step 4 Stage Discharge'!E$26:F$126,MATCH(F850,'Step 4 Stage Discharge'!E$26:E$126,1),1))/(INDEX('Step 4 Stage Discharge'!E$26:F$126,MATCH(F850,'Step 4 Stage Discharge'!E$26:E$126,1)+1,1)-INDEX('Step 4 Stage Discharge'!E$26:F$126,MATCH(F850,'Step 4 Stage Discharge'!E$26:E$126,1),1))</f>
        <v>0</v>
      </c>
      <c r="H850" s="149"/>
      <c r="I850" s="149">
        <f>INDEX('Step 4 Stage Discharge'!E$26:M$126,MATCH(F850,'Step 4 Stage Discharge'!E$26:E$126,1),9)+(INDEX('Step 4 Stage Discharge'!E$26:M$126,MATCH('Step 5 Routing'!F850,'Step 4 Stage Discharge'!E$26:E$126,1)+1,9)-INDEX('Step 4 Stage Discharge'!E$26:M$126,MATCH('Step 5 Routing'!F850,'Step 4 Stage Discharge'!E$26:E$126,1),9))*('Step 5 Routing'!F850-INDEX('Step 4 Stage Discharge'!E$26:M$126,MATCH('Step 5 Routing'!F850,'Step 4 Stage Discharge'!E$26:E$126,1),1))/(INDEX('Step 4 Stage Discharge'!E$26:M$126,MATCH('Step 5 Routing'!F850,'Step 4 Stage Discharge'!E$26:E$126,1)+1,1)-INDEX('Step 4 Stage Discharge'!E$26:M$126,MATCH('Step 5 Routing'!F850,'Step 4 Stage Discharge'!E$26:E$126,1),1))</f>
        <v>4.3639431710317386E-3</v>
      </c>
      <c r="J850" s="149"/>
      <c r="K850" s="6">
        <f t="shared" si="66"/>
        <v>0</v>
      </c>
      <c r="L850" s="6">
        <f t="shared" si="67"/>
        <v>0</v>
      </c>
    </row>
    <row r="851" spans="1:12">
      <c r="A851">
        <f t="shared" si="68"/>
        <v>838</v>
      </c>
      <c r="B851" s="136">
        <f>IF(C$5=Data!D$3,'Step 2 Inflow Hydrograph'!H895,IF(C$5=Data!D$4,'Step 2 Inflow Hydrograph'!I895,IF(C$5=Data!D$5,'Step 2 Inflow Hydrograph'!J895,'Step 2 Inflow Hydrograph'!K895)))</f>
        <v>0</v>
      </c>
      <c r="C851" s="127"/>
      <c r="D851" s="6">
        <f t="shared" si="65"/>
        <v>0</v>
      </c>
      <c r="E851" s="6"/>
      <c r="F851" s="6">
        <f t="shared" si="69"/>
        <v>0</v>
      </c>
      <c r="G851" s="149">
        <f>INDEX('Step 4 Stage Discharge'!E$26:F$126,MATCH(F851,'Step 4 Stage Discharge'!E$26:E$126,1),2)+(INDEX('Step 4 Stage Discharge'!E$26:F$126,MATCH(F851,'Step 4 Stage Discharge'!E$26:E$126,1)+1,2)-INDEX('Step 4 Stage Discharge'!E$26:F$126,MATCH(F851,'Step 4 Stage Discharge'!E$26:E$126,1),2))*(F851-INDEX('Step 4 Stage Discharge'!E$26:F$126,MATCH(F851,'Step 4 Stage Discharge'!E$26:E$126,1),1))/(INDEX('Step 4 Stage Discharge'!E$26:F$126,MATCH(F851,'Step 4 Stage Discharge'!E$26:E$126,1)+1,1)-INDEX('Step 4 Stage Discharge'!E$26:F$126,MATCH(F851,'Step 4 Stage Discharge'!E$26:E$126,1),1))</f>
        <v>0</v>
      </c>
      <c r="H851" s="149"/>
      <c r="I851" s="149">
        <f>INDEX('Step 4 Stage Discharge'!E$26:M$126,MATCH(F851,'Step 4 Stage Discharge'!E$26:E$126,1),9)+(INDEX('Step 4 Stage Discharge'!E$26:M$126,MATCH('Step 5 Routing'!F851,'Step 4 Stage Discharge'!E$26:E$126,1)+1,9)-INDEX('Step 4 Stage Discharge'!E$26:M$126,MATCH('Step 5 Routing'!F851,'Step 4 Stage Discharge'!E$26:E$126,1),9))*('Step 5 Routing'!F851-INDEX('Step 4 Stage Discharge'!E$26:M$126,MATCH('Step 5 Routing'!F851,'Step 4 Stage Discharge'!E$26:E$126,1),1))/(INDEX('Step 4 Stage Discharge'!E$26:M$126,MATCH('Step 5 Routing'!F851,'Step 4 Stage Discharge'!E$26:E$126,1)+1,1)-INDEX('Step 4 Stage Discharge'!E$26:M$126,MATCH('Step 5 Routing'!F851,'Step 4 Stage Discharge'!E$26:E$126,1),1))</f>
        <v>4.3639431710317386E-3</v>
      </c>
      <c r="J851" s="149"/>
      <c r="K851" s="6">
        <f t="shared" si="66"/>
        <v>0</v>
      </c>
      <c r="L851" s="6">
        <f t="shared" si="67"/>
        <v>0</v>
      </c>
    </row>
    <row r="852" spans="1:12">
      <c r="A852">
        <f t="shared" si="68"/>
        <v>839</v>
      </c>
      <c r="B852" s="136">
        <f>IF(C$5=Data!D$3,'Step 2 Inflow Hydrograph'!H896,IF(C$5=Data!D$4,'Step 2 Inflow Hydrograph'!I896,IF(C$5=Data!D$5,'Step 2 Inflow Hydrograph'!J896,'Step 2 Inflow Hydrograph'!K896)))</f>
        <v>0</v>
      </c>
      <c r="C852" s="127"/>
      <c r="D852" s="6">
        <f t="shared" si="65"/>
        <v>0</v>
      </c>
      <c r="E852" s="6"/>
      <c r="F852" s="6">
        <f t="shared" si="69"/>
        <v>0</v>
      </c>
      <c r="G852" s="149">
        <f>INDEX('Step 4 Stage Discharge'!E$26:F$126,MATCH(F852,'Step 4 Stage Discharge'!E$26:E$126,1),2)+(INDEX('Step 4 Stage Discharge'!E$26:F$126,MATCH(F852,'Step 4 Stage Discharge'!E$26:E$126,1)+1,2)-INDEX('Step 4 Stage Discharge'!E$26:F$126,MATCH(F852,'Step 4 Stage Discharge'!E$26:E$126,1),2))*(F852-INDEX('Step 4 Stage Discharge'!E$26:F$126,MATCH(F852,'Step 4 Stage Discharge'!E$26:E$126,1),1))/(INDEX('Step 4 Stage Discharge'!E$26:F$126,MATCH(F852,'Step 4 Stage Discharge'!E$26:E$126,1)+1,1)-INDEX('Step 4 Stage Discharge'!E$26:F$126,MATCH(F852,'Step 4 Stage Discharge'!E$26:E$126,1),1))</f>
        <v>0</v>
      </c>
      <c r="H852" s="149"/>
      <c r="I852" s="149">
        <f>INDEX('Step 4 Stage Discharge'!E$26:M$126,MATCH(F852,'Step 4 Stage Discharge'!E$26:E$126,1),9)+(INDEX('Step 4 Stage Discharge'!E$26:M$126,MATCH('Step 5 Routing'!F852,'Step 4 Stage Discharge'!E$26:E$126,1)+1,9)-INDEX('Step 4 Stage Discharge'!E$26:M$126,MATCH('Step 5 Routing'!F852,'Step 4 Stage Discharge'!E$26:E$126,1),9))*('Step 5 Routing'!F852-INDEX('Step 4 Stage Discharge'!E$26:M$126,MATCH('Step 5 Routing'!F852,'Step 4 Stage Discharge'!E$26:E$126,1),1))/(INDEX('Step 4 Stage Discharge'!E$26:M$126,MATCH('Step 5 Routing'!F852,'Step 4 Stage Discharge'!E$26:E$126,1)+1,1)-INDEX('Step 4 Stage Discharge'!E$26:M$126,MATCH('Step 5 Routing'!F852,'Step 4 Stage Discharge'!E$26:E$126,1),1))</f>
        <v>4.3639431710317386E-3</v>
      </c>
      <c r="J852" s="149"/>
      <c r="K852" s="6">
        <f t="shared" si="66"/>
        <v>0</v>
      </c>
      <c r="L852" s="6">
        <f t="shared" si="67"/>
        <v>0</v>
      </c>
    </row>
    <row r="853" spans="1:12">
      <c r="A853">
        <f t="shared" si="68"/>
        <v>840</v>
      </c>
      <c r="B853" s="136">
        <f>IF(C$5=Data!D$3,'Step 2 Inflow Hydrograph'!H897,IF(C$5=Data!D$4,'Step 2 Inflow Hydrograph'!I897,IF(C$5=Data!D$5,'Step 2 Inflow Hydrograph'!J897,'Step 2 Inflow Hydrograph'!K897)))</f>
        <v>0</v>
      </c>
      <c r="C853" s="127"/>
      <c r="D853" s="6">
        <f t="shared" si="65"/>
        <v>0</v>
      </c>
      <c r="E853" s="6"/>
      <c r="F853" s="6">
        <f t="shared" si="69"/>
        <v>0</v>
      </c>
      <c r="G853" s="149">
        <f>INDEX('Step 4 Stage Discharge'!E$26:F$126,MATCH(F853,'Step 4 Stage Discharge'!E$26:E$126,1),2)+(INDEX('Step 4 Stage Discharge'!E$26:F$126,MATCH(F853,'Step 4 Stage Discharge'!E$26:E$126,1)+1,2)-INDEX('Step 4 Stage Discharge'!E$26:F$126,MATCH(F853,'Step 4 Stage Discharge'!E$26:E$126,1),2))*(F853-INDEX('Step 4 Stage Discharge'!E$26:F$126,MATCH(F853,'Step 4 Stage Discharge'!E$26:E$126,1),1))/(INDEX('Step 4 Stage Discharge'!E$26:F$126,MATCH(F853,'Step 4 Stage Discharge'!E$26:E$126,1)+1,1)-INDEX('Step 4 Stage Discharge'!E$26:F$126,MATCH(F853,'Step 4 Stage Discharge'!E$26:E$126,1),1))</f>
        <v>0</v>
      </c>
      <c r="H853" s="149"/>
      <c r="I853" s="149">
        <f>INDEX('Step 4 Stage Discharge'!E$26:M$126,MATCH(F853,'Step 4 Stage Discharge'!E$26:E$126,1),9)+(INDEX('Step 4 Stage Discharge'!E$26:M$126,MATCH('Step 5 Routing'!F853,'Step 4 Stage Discharge'!E$26:E$126,1)+1,9)-INDEX('Step 4 Stage Discharge'!E$26:M$126,MATCH('Step 5 Routing'!F853,'Step 4 Stage Discharge'!E$26:E$126,1),9))*('Step 5 Routing'!F853-INDEX('Step 4 Stage Discharge'!E$26:M$126,MATCH('Step 5 Routing'!F853,'Step 4 Stage Discharge'!E$26:E$126,1),1))/(INDEX('Step 4 Stage Discharge'!E$26:M$126,MATCH('Step 5 Routing'!F853,'Step 4 Stage Discharge'!E$26:E$126,1)+1,1)-INDEX('Step 4 Stage Discharge'!E$26:M$126,MATCH('Step 5 Routing'!F853,'Step 4 Stage Discharge'!E$26:E$126,1),1))</f>
        <v>4.3639431710317386E-3</v>
      </c>
      <c r="J853" s="149"/>
      <c r="K853" s="6">
        <f t="shared" si="66"/>
        <v>0</v>
      </c>
      <c r="L853" s="6">
        <f t="shared" si="67"/>
        <v>0</v>
      </c>
    </row>
    <row r="854" spans="1:12">
      <c r="A854">
        <f t="shared" si="68"/>
        <v>841</v>
      </c>
      <c r="B854" s="136">
        <f>IF(C$5=Data!D$3,'Step 2 Inflow Hydrograph'!H898,IF(C$5=Data!D$4,'Step 2 Inflow Hydrograph'!I898,IF(C$5=Data!D$5,'Step 2 Inflow Hydrograph'!J898,'Step 2 Inflow Hydrograph'!K898)))</f>
        <v>0</v>
      </c>
      <c r="C854" s="127"/>
      <c r="D854" s="6">
        <f t="shared" si="65"/>
        <v>0</v>
      </c>
      <c r="E854" s="6"/>
      <c r="F854" s="6">
        <f t="shared" si="69"/>
        <v>0</v>
      </c>
      <c r="G854" s="149">
        <f>INDEX('Step 4 Stage Discharge'!E$26:F$126,MATCH(F854,'Step 4 Stage Discharge'!E$26:E$126,1),2)+(INDEX('Step 4 Stage Discharge'!E$26:F$126,MATCH(F854,'Step 4 Stage Discharge'!E$26:E$126,1)+1,2)-INDEX('Step 4 Stage Discharge'!E$26:F$126,MATCH(F854,'Step 4 Stage Discharge'!E$26:E$126,1),2))*(F854-INDEX('Step 4 Stage Discharge'!E$26:F$126,MATCH(F854,'Step 4 Stage Discharge'!E$26:E$126,1),1))/(INDEX('Step 4 Stage Discharge'!E$26:F$126,MATCH(F854,'Step 4 Stage Discharge'!E$26:E$126,1)+1,1)-INDEX('Step 4 Stage Discharge'!E$26:F$126,MATCH(F854,'Step 4 Stage Discharge'!E$26:E$126,1),1))</f>
        <v>0</v>
      </c>
      <c r="H854" s="149"/>
      <c r="I854" s="149">
        <f>INDEX('Step 4 Stage Discharge'!E$26:M$126,MATCH(F854,'Step 4 Stage Discharge'!E$26:E$126,1),9)+(INDEX('Step 4 Stage Discharge'!E$26:M$126,MATCH('Step 5 Routing'!F854,'Step 4 Stage Discharge'!E$26:E$126,1)+1,9)-INDEX('Step 4 Stage Discharge'!E$26:M$126,MATCH('Step 5 Routing'!F854,'Step 4 Stage Discharge'!E$26:E$126,1),9))*('Step 5 Routing'!F854-INDEX('Step 4 Stage Discharge'!E$26:M$126,MATCH('Step 5 Routing'!F854,'Step 4 Stage Discharge'!E$26:E$126,1),1))/(INDEX('Step 4 Stage Discharge'!E$26:M$126,MATCH('Step 5 Routing'!F854,'Step 4 Stage Discharge'!E$26:E$126,1)+1,1)-INDEX('Step 4 Stage Discharge'!E$26:M$126,MATCH('Step 5 Routing'!F854,'Step 4 Stage Discharge'!E$26:E$126,1),1))</f>
        <v>4.3639431710317386E-3</v>
      </c>
      <c r="J854" s="149"/>
      <c r="K854" s="6">
        <f t="shared" si="66"/>
        <v>0</v>
      </c>
      <c r="L854" s="6">
        <f t="shared" si="67"/>
        <v>0</v>
      </c>
    </row>
    <row r="855" spans="1:12">
      <c r="A855">
        <f t="shared" si="68"/>
        <v>842</v>
      </c>
      <c r="B855" s="136">
        <f>IF(C$5=Data!D$3,'Step 2 Inflow Hydrograph'!H899,IF(C$5=Data!D$4,'Step 2 Inflow Hydrograph'!I899,IF(C$5=Data!D$5,'Step 2 Inflow Hydrograph'!J899,'Step 2 Inflow Hydrograph'!K899)))</f>
        <v>0</v>
      </c>
      <c r="C855" s="127"/>
      <c r="D855" s="6">
        <f t="shared" si="65"/>
        <v>0</v>
      </c>
      <c r="E855" s="6"/>
      <c r="F855" s="6">
        <f t="shared" si="69"/>
        <v>0</v>
      </c>
      <c r="G855" s="149">
        <f>INDEX('Step 4 Stage Discharge'!E$26:F$126,MATCH(F855,'Step 4 Stage Discharge'!E$26:E$126,1),2)+(INDEX('Step 4 Stage Discharge'!E$26:F$126,MATCH(F855,'Step 4 Stage Discharge'!E$26:E$126,1)+1,2)-INDEX('Step 4 Stage Discharge'!E$26:F$126,MATCH(F855,'Step 4 Stage Discharge'!E$26:E$126,1),2))*(F855-INDEX('Step 4 Stage Discharge'!E$26:F$126,MATCH(F855,'Step 4 Stage Discharge'!E$26:E$126,1),1))/(INDEX('Step 4 Stage Discharge'!E$26:F$126,MATCH(F855,'Step 4 Stage Discharge'!E$26:E$126,1)+1,1)-INDEX('Step 4 Stage Discharge'!E$26:F$126,MATCH(F855,'Step 4 Stage Discharge'!E$26:E$126,1),1))</f>
        <v>0</v>
      </c>
      <c r="H855" s="149"/>
      <c r="I855" s="149">
        <f>INDEX('Step 4 Stage Discharge'!E$26:M$126,MATCH(F855,'Step 4 Stage Discharge'!E$26:E$126,1),9)+(INDEX('Step 4 Stage Discharge'!E$26:M$126,MATCH('Step 5 Routing'!F855,'Step 4 Stage Discharge'!E$26:E$126,1)+1,9)-INDEX('Step 4 Stage Discharge'!E$26:M$126,MATCH('Step 5 Routing'!F855,'Step 4 Stage Discharge'!E$26:E$126,1),9))*('Step 5 Routing'!F855-INDEX('Step 4 Stage Discharge'!E$26:M$126,MATCH('Step 5 Routing'!F855,'Step 4 Stage Discharge'!E$26:E$126,1),1))/(INDEX('Step 4 Stage Discharge'!E$26:M$126,MATCH('Step 5 Routing'!F855,'Step 4 Stage Discharge'!E$26:E$126,1)+1,1)-INDEX('Step 4 Stage Discharge'!E$26:M$126,MATCH('Step 5 Routing'!F855,'Step 4 Stage Discharge'!E$26:E$126,1),1))</f>
        <v>4.3639431710317386E-3</v>
      </c>
      <c r="J855" s="149"/>
      <c r="K855" s="6">
        <f t="shared" si="66"/>
        <v>0</v>
      </c>
      <c r="L855" s="6">
        <f t="shared" si="67"/>
        <v>0</v>
      </c>
    </row>
    <row r="856" spans="1:12">
      <c r="A856">
        <f t="shared" si="68"/>
        <v>843</v>
      </c>
      <c r="B856" s="136">
        <f>IF(C$5=Data!D$3,'Step 2 Inflow Hydrograph'!H900,IF(C$5=Data!D$4,'Step 2 Inflow Hydrograph'!I900,IF(C$5=Data!D$5,'Step 2 Inflow Hydrograph'!J900,'Step 2 Inflow Hydrograph'!K900)))</f>
        <v>0</v>
      </c>
      <c r="C856" s="127"/>
      <c r="D856" s="6">
        <f t="shared" si="65"/>
        <v>0</v>
      </c>
      <c r="E856" s="6"/>
      <c r="F856" s="6">
        <f t="shared" si="69"/>
        <v>0</v>
      </c>
      <c r="G856" s="149">
        <f>INDEX('Step 4 Stage Discharge'!E$26:F$126,MATCH(F856,'Step 4 Stage Discharge'!E$26:E$126,1),2)+(INDEX('Step 4 Stage Discharge'!E$26:F$126,MATCH(F856,'Step 4 Stage Discharge'!E$26:E$126,1)+1,2)-INDEX('Step 4 Stage Discharge'!E$26:F$126,MATCH(F856,'Step 4 Stage Discharge'!E$26:E$126,1),2))*(F856-INDEX('Step 4 Stage Discharge'!E$26:F$126,MATCH(F856,'Step 4 Stage Discharge'!E$26:E$126,1),1))/(INDEX('Step 4 Stage Discharge'!E$26:F$126,MATCH(F856,'Step 4 Stage Discharge'!E$26:E$126,1)+1,1)-INDEX('Step 4 Stage Discharge'!E$26:F$126,MATCH(F856,'Step 4 Stage Discharge'!E$26:E$126,1),1))</f>
        <v>0</v>
      </c>
      <c r="H856" s="149"/>
      <c r="I856" s="149">
        <f>INDEX('Step 4 Stage Discharge'!E$26:M$126,MATCH(F856,'Step 4 Stage Discharge'!E$26:E$126,1),9)+(INDEX('Step 4 Stage Discharge'!E$26:M$126,MATCH('Step 5 Routing'!F856,'Step 4 Stage Discharge'!E$26:E$126,1)+1,9)-INDEX('Step 4 Stage Discharge'!E$26:M$126,MATCH('Step 5 Routing'!F856,'Step 4 Stage Discharge'!E$26:E$126,1),9))*('Step 5 Routing'!F856-INDEX('Step 4 Stage Discharge'!E$26:M$126,MATCH('Step 5 Routing'!F856,'Step 4 Stage Discharge'!E$26:E$126,1),1))/(INDEX('Step 4 Stage Discharge'!E$26:M$126,MATCH('Step 5 Routing'!F856,'Step 4 Stage Discharge'!E$26:E$126,1)+1,1)-INDEX('Step 4 Stage Discharge'!E$26:M$126,MATCH('Step 5 Routing'!F856,'Step 4 Stage Discharge'!E$26:E$126,1),1))</f>
        <v>4.3639431710317386E-3</v>
      </c>
      <c r="J856" s="149"/>
      <c r="K856" s="6">
        <f t="shared" si="66"/>
        <v>0</v>
      </c>
      <c r="L856" s="6">
        <f t="shared" si="67"/>
        <v>0</v>
      </c>
    </row>
    <row r="857" spans="1:12">
      <c r="A857">
        <f t="shared" si="68"/>
        <v>844</v>
      </c>
      <c r="B857" s="136">
        <f>IF(C$5=Data!D$3,'Step 2 Inflow Hydrograph'!H901,IF(C$5=Data!D$4,'Step 2 Inflow Hydrograph'!I901,IF(C$5=Data!D$5,'Step 2 Inflow Hydrograph'!J901,'Step 2 Inflow Hydrograph'!K901)))</f>
        <v>0</v>
      </c>
      <c r="C857" s="127"/>
      <c r="D857" s="6">
        <f t="shared" si="65"/>
        <v>0</v>
      </c>
      <c r="E857" s="6"/>
      <c r="F857" s="6">
        <f t="shared" si="69"/>
        <v>0</v>
      </c>
      <c r="G857" s="149">
        <f>INDEX('Step 4 Stage Discharge'!E$26:F$126,MATCH(F857,'Step 4 Stage Discharge'!E$26:E$126,1),2)+(INDEX('Step 4 Stage Discharge'!E$26:F$126,MATCH(F857,'Step 4 Stage Discharge'!E$26:E$126,1)+1,2)-INDEX('Step 4 Stage Discharge'!E$26:F$126,MATCH(F857,'Step 4 Stage Discharge'!E$26:E$126,1),2))*(F857-INDEX('Step 4 Stage Discharge'!E$26:F$126,MATCH(F857,'Step 4 Stage Discharge'!E$26:E$126,1),1))/(INDEX('Step 4 Stage Discharge'!E$26:F$126,MATCH(F857,'Step 4 Stage Discharge'!E$26:E$126,1)+1,1)-INDEX('Step 4 Stage Discharge'!E$26:F$126,MATCH(F857,'Step 4 Stage Discharge'!E$26:E$126,1),1))</f>
        <v>0</v>
      </c>
      <c r="H857" s="149"/>
      <c r="I857" s="149">
        <f>INDEX('Step 4 Stage Discharge'!E$26:M$126,MATCH(F857,'Step 4 Stage Discharge'!E$26:E$126,1),9)+(INDEX('Step 4 Stage Discharge'!E$26:M$126,MATCH('Step 5 Routing'!F857,'Step 4 Stage Discharge'!E$26:E$126,1)+1,9)-INDEX('Step 4 Stage Discharge'!E$26:M$126,MATCH('Step 5 Routing'!F857,'Step 4 Stage Discharge'!E$26:E$126,1),9))*('Step 5 Routing'!F857-INDEX('Step 4 Stage Discharge'!E$26:M$126,MATCH('Step 5 Routing'!F857,'Step 4 Stage Discharge'!E$26:E$126,1),1))/(INDEX('Step 4 Stage Discharge'!E$26:M$126,MATCH('Step 5 Routing'!F857,'Step 4 Stage Discharge'!E$26:E$126,1)+1,1)-INDEX('Step 4 Stage Discharge'!E$26:M$126,MATCH('Step 5 Routing'!F857,'Step 4 Stage Discharge'!E$26:E$126,1),1))</f>
        <v>4.3639431710317386E-3</v>
      </c>
      <c r="J857" s="149"/>
      <c r="K857" s="6">
        <f t="shared" si="66"/>
        <v>0</v>
      </c>
      <c r="L857" s="6">
        <f t="shared" si="67"/>
        <v>0</v>
      </c>
    </row>
    <row r="858" spans="1:12">
      <c r="A858">
        <f t="shared" si="68"/>
        <v>845</v>
      </c>
      <c r="B858" s="136">
        <f>IF(C$5=Data!D$3,'Step 2 Inflow Hydrograph'!H902,IF(C$5=Data!D$4,'Step 2 Inflow Hydrograph'!I902,IF(C$5=Data!D$5,'Step 2 Inflow Hydrograph'!J902,'Step 2 Inflow Hydrograph'!K902)))</f>
        <v>0</v>
      </c>
      <c r="C858" s="127"/>
      <c r="D858" s="6">
        <f t="shared" si="65"/>
        <v>0</v>
      </c>
      <c r="E858" s="6"/>
      <c r="F858" s="6">
        <f t="shared" si="69"/>
        <v>0</v>
      </c>
      <c r="G858" s="149">
        <f>INDEX('Step 4 Stage Discharge'!E$26:F$126,MATCH(F858,'Step 4 Stage Discharge'!E$26:E$126,1),2)+(INDEX('Step 4 Stage Discharge'!E$26:F$126,MATCH(F858,'Step 4 Stage Discharge'!E$26:E$126,1)+1,2)-INDEX('Step 4 Stage Discharge'!E$26:F$126,MATCH(F858,'Step 4 Stage Discharge'!E$26:E$126,1),2))*(F858-INDEX('Step 4 Stage Discharge'!E$26:F$126,MATCH(F858,'Step 4 Stage Discharge'!E$26:E$126,1),1))/(INDEX('Step 4 Stage Discharge'!E$26:F$126,MATCH(F858,'Step 4 Stage Discharge'!E$26:E$126,1)+1,1)-INDEX('Step 4 Stage Discharge'!E$26:F$126,MATCH(F858,'Step 4 Stage Discharge'!E$26:E$126,1),1))</f>
        <v>0</v>
      </c>
      <c r="H858" s="149"/>
      <c r="I858" s="149">
        <f>INDEX('Step 4 Stage Discharge'!E$26:M$126,MATCH(F858,'Step 4 Stage Discharge'!E$26:E$126,1),9)+(INDEX('Step 4 Stage Discharge'!E$26:M$126,MATCH('Step 5 Routing'!F858,'Step 4 Stage Discharge'!E$26:E$126,1)+1,9)-INDEX('Step 4 Stage Discharge'!E$26:M$126,MATCH('Step 5 Routing'!F858,'Step 4 Stage Discharge'!E$26:E$126,1),9))*('Step 5 Routing'!F858-INDEX('Step 4 Stage Discharge'!E$26:M$126,MATCH('Step 5 Routing'!F858,'Step 4 Stage Discharge'!E$26:E$126,1),1))/(INDEX('Step 4 Stage Discharge'!E$26:M$126,MATCH('Step 5 Routing'!F858,'Step 4 Stage Discharge'!E$26:E$126,1)+1,1)-INDEX('Step 4 Stage Discharge'!E$26:M$126,MATCH('Step 5 Routing'!F858,'Step 4 Stage Discharge'!E$26:E$126,1),1))</f>
        <v>4.3639431710317386E-3</v>
      </c>
      <c r="J858" s="149"/>
      <c r="K858" s="6">
        <f t="shared" si="66"/>
        <v>0</v>
      </c>
      <c r="L858" s="6">
        <f t="shared" si="67"/>
        <v>0</v>
      </c>
    </row>
    <row r="859" spans="1:12">
      <c r="A859">
        <f t="shared" si="68"/>
        <v>846</v>
      </c>
      <c r="B859" s="136">
        <f>IF(C$5=Data!D$3,'Step 2 Inflow Hydrograph'!H903,IF(C$5=Data!D$4,'Step 2 Inflow Hydrograph'!I903,IF(C$5=Data!D$5,'Step 2 Inflow Hydrograph'!J903,'Step 2 Inflow Hydrograph'!K903)))</f>
        <v>0</v>
      </c>
      <c r="C859" s="127"/>
      <c r="D859" s="6">
        <f t="shared" si="65"/>
        <v>0</v>
      </c>
      <c r="E859" s="6"/>
      <c r="F859" s="6">
        <f t="shared" si="69"/>
        <v>0</v>
      </c>
      <c r="G859" s="149">
        <f>INDEX('Step 4 Stage Discharge'!E$26:F$126,MATCH(F859,'Step 4 Stage Discharge'!E$26:E$126,1),2)+(INDEX('Step 4 Stage Discharge'!E$26:F$126,MATCH(F859,'Step 4 Stage Discharge'!E$26:E$126,1)+1,2)-INDEX('Step 4 Stage Discharge'!E$26:F$126,MATCH(F859,'Step 4 Stage Discharge'!E$26:E$126,1),2))*(F859-INDEX('Step 4 Stage Discharge'!E$26:F$126,MATCH(F859,'Step 4 Stage Discharge'!E$26:E$126,1),1))/(INDEX('Step 4 Stage Discharge'!E$26:F$126,MATCH(F859,'Step 4 Stage Discharge'!E$26:E$126,1)+1,1)-INDEX('Step 4 Stage Discharge'!E$26:F$126,MATCH(F859,'Step 4 Stage Discharge'!E$26:E$126,1),1))</f>
        <v>0</v>
      </c>
      <c r="H859" s="149"/>
      <c r="I859" s="149">
        <f>INDEX('Step 4 Stage Discharge'!E$26:M$126,MATCH(F859,'Step 4 Stage Discharge'!E$26:E$126,1),9)+(INDEX('Step 4 Stage Discharge'!E$26:M$126,MATCH('Step 5 Routing'!F859,'Step 4 Stage Discharge'!E$26:E$126,1)+1,9)-INDEX('Step 4 Stage Discharge'!E$26:M$126,MATCH('Step 5 Routing'!F859,'Step 4 Stage Discharge'!E$26:E$126,1),9))*('Step 5 Routing'!F859-INDEX('Step 4 Stage Discharge'!E$26:M$126,MATCH('Step 5 Routing'!F859,'Step 4 Stage Discharge'!E$26:E$126,1),1))/(INDEX('Step 4 Stage Discharge'!E$26:M$126,MATCH('Step 5 Routing'!F859,'Step 4 Stage Discharge'!E$26:E$126,1)+1,1)-INDEX('Step 4 Stage Discharge'!E$26:M$126,MATCH('Step 5 Routing'!F859,'Step 4 Stage Discharge'!E$26:E$126,1),1))</f>
        <v>4.3639431710317386E-3</v>
      </c>
      <c r="J859" s="149"/>
      <c r="K859" s="6">
        <f t="shared" si="66"/>
        <v>0</v>
      </c>
      <c r="L859" s="6">
        <f t="shared" si="67"/>
        <v>0</v>
      </c>
    </row>
    <row r="860" spans="1:12">
      <c r="A860">
        <f t="shared" si="68"/>
        <v>847</v>
      </c>
      <c r="B860" s="136">
        <f>IF(C$5=Data!D$3,'Step 2 Inflow Hydrograph'!H904,IF(C$5=Data!D$4,'Step 2 Inflow Hydrograph'!I904,IF(C$5=Data!D$5,'Step 2 Inflow Hydrograph'!J904,'Step 2 Inflow Hydrograph'!K904)))</f>
        <v>0</v>
      </c>
      <c r="C860" s="127"/>
      <c r="D860" s="6">
        <f t="shared" si="65"/>
        <v>0</v>
      </c>
      <c r="E860" s="6"/>
      <c r="F860" s="6">
        <f t="shared" si="69"/>
        <v>0</v>
      </c>
      <c r="G860" s="149">
        <f>INDEX('Step 4 Stage Discharge'!E$26:F$126,MATCH(F860,'Step 4 Stage Discharge'!E$26:E$126,1),2)+(INDEX('Step 4 Stage Discharge'!E$26:F$126,MATCH(F860,'Step 4 Stage Discharge'!E$26:E$126,1)+1,2)-INDEX('Step 4 Stage Discharge'!E$26:F$126,MATCH(F860,'Step 4 Stage Discharge'!E$26:E$126,1),2))*(F860-INDEX('Step 4 Stage Discharge'!E$26:F$126,MATCH(F860,'Step 4 Stage Discharge'!E$26:E$126,1),1))/(INDEX('Step 4 Stage Discharge'!E$26:F$126,MATCH(F860,'Step 4 Stage Discharge'!E$26:E$126,1)+1,1)-INDEX('Step 4 Stage Discharge'!E$26:F$126,MATCH(F860,'Step 4 Stage Discharge'!E$26:E$126,1),1))</f>
        <v>0</v>
      </c>
      <c r="H860" s="149"/>
      <c r="I860" s="149">
        <f>INDEX('Step 4 Stage Discharge'!E$26:M$126,MATCH(F860,'Step 4 Stage Discharge'!E$26:E$126,1),9)+(INDEX('Step 4 Stage Discharge'!E$26:M$126,MATCH('Step 5 Routing'!F860,'Step 4 Stage Discharge'!E$26:E$126,1)+1,9)-INDEX('Step 4 Stage Discharge'!E$26:M$126,MATCH('Step 5 Routing'!F860,'Step 4 Stage Discharge'!E$26:E$126,1),9))*('Step 5 Routing'!F860-INDEX('Step 4 Stage Discharge'!E$26:M$126,MATCH('Step 5 Routing'!F860,'Step 4 Stage Discharge'!E$26:E$126,1),1))/(INDEX('Step 4 Stage Discharge'!E$26:M$126,MATCH('Step 5 Routing'!F860,'Step 4 Stage Discharge'!E$26:E$126,1)+1,1)-INDEX('Step 4 Stage Discharge'!E$26:M$126,MATCH('Step 5 Routing'!F860,'Step 4 Stage Discharge'!E$26:E$126,1),1))</f>
        <v>4.3639431710317386E-3</v>
      </c>
      <c r="J860" s="149"/>
      <c r="K860" s="6">
        <f t="shared" si="66"/>
        <v>0</v>
      </c>
      <c r="L860" s="6">
        <f t="shared" si="67"/>
        <v>0</v>
      </c>
    </row>
    <row r="861" spans="1:12">
      <c r="A861">
        <f t="shared" si="68"/>
        <v>848</v>
      </c>
      <c r="B861" s="136">
        <f>IF(C$5=Data!D$3,'Step 2 Inflow Hydrograph'!H905,IF(C$5=Data!D$4,'Step 2 Inflow Hydrograph'!I905,IF(C$5=Data!D$5,'Step 2 Inflow Hydrograph'!J905,'Step 2 Inflow Hydrograph'!K905)))</f>
        <v>0</v>
      </c>
      <c r="C861" s="127"/>
      <c r="D861" s="6">
        <f t="shared" si="65"/>
        <v>0</v>
      </c>
      <c r="E861" s="6"/>
      <c r="F861" s="6">
        <f t="shared" si="69"/>
        <v>0</v>
      </c>
      <c r="G861" s="149">
        <f>INDEX('Step 4 Stage Discharge'!E$26:F$126,MATCH(F861,'Step 4 Stage Discharge'!E$26:E$126,1),2)+(INDEX('Step 4 Stage Discharge'!E$26:F$126,MATCH(F861,'Step 4 Stage Discharge'!E$26:E$126,1)+1,2)-INDEX('Step 4 Stage Discharge'!E$26:F$126,MATCH(F861,'Step 4 Stage Discharge'!E$26:E$126,1),2))*(F861-INDEX('Step 4 Stage Discharge'!E$26:F$126,MATCH(F861,'Step 4 Stage Discharge'!E$26:E$126,1),1))/(INDEX('Step 4 Stage Discharge'!E$26:F$126,MATCH(F861,'Step 4 Stage Discharge'!E$26:E$126,1)+1,1)-INDEX('Step 4 Stage Discharge'!E$26:F$126,MATCH(F861,'Step 4 Stage Discharge'!E$26:E$126,1),1))</f>
        <v>0</v>
      </c>
      <c r="H861" s="149"/>
      <c r="I861" s="149">
        <f>INDEX('Step 4 Stage Discharge'!E$26:M$126,MATCH(F861,'Step 4 Stage Discharge'!E$26:E$126,1),9)+(INDEX('Step 4 Stage Discharge'!E$26:M$126,MATCH('Step 5 Routing'!F861,'Step 4 Stage Discharge'!E$26:E$126,1)+1,9)-INDEX('Step 4 Stage Discharge'!E$26:M$126,MATCH('Step 5 Routing'!F861,'Step 4 Stage Discharge'!E$26:E$126,1),9))*('Step 5 Routing'!F861-INDEX('Step 4 Stage Discharge'!E$26:M$126,MATCH('Step 5 Routing'!F861,'Step 4 Stage Discharge'!E$26:E$126,1),1))/(INDEX('Step 4 Stage Discharge'!E$26:M$126,MATCH('Step 5 Routing'!F861,'Step 4 Stage Discharge'!E$26:E$126,1)+1,1)-INDEX('Step 4 Stage Discharge'!E$26:M$126,MATCH('Step 5 Routing'!F861,'Step 4 Stage Discharge'!E$26:E$126,1),1))</f>
        <v>4.3639431710317386E-3</v>
      </c>
      <c r="J861" s="149"/>
      <c r="K861" s="6">
        <f t="shared" si="66"/>
        <v>0</v>
      </c>
      <c r="L861" s="6">
        <f t="shared" si="67"/>
        <v>0</v>
      </c>
    </row>
    <row r="862" spans="1:12">
      <c r="A862">
        <f t="shared" si="68"/>
        <v>849</v>
      </c>
      <c r="B862" s="136">
        <f>IF(C$5=Data!D$3,'Step 2 Inflow Hydrograph'!H906,IF(C$5=Data!D$4,'Step 2 Inflow Hydrograph'!I906,IF(C$5=Data!D$5,'Step 2 Inflow Hydrograph'!J906,'Step 2 Inflow Hydrograph'!K906)))</f>
        <v>0</v>
      </c>
      <c r="C862" s="127"/>
      <c r="D862" s="6">
        <f t="shared" si="65"/>
        <v>0</v>
      </c>
      <c r="E862" s="6"/>
      <c r="F862" s="6">
        <f t="shared" si="69"/>
        <v>0</v>
      </c>
      <c r="G862" s="149">
        <f>INDEX('Step 4 Stage Discharge'!E$26:F$126,MATCH(F862,'Step 4 Stage Discharge'!E$26:E$126,1),2)+(INDEX('Step 4 Stage Discharge'!E$26:F$126,MATCH(F862,'Step 4 Stage Discharge'!E$26:E$126,1)+1,2)-INDEX('Step 4 Stage Discharge'!E$26:F$126,MATCH(F862,'Step 4 Stage Discharge'!E$26:E$126,1),2))*(F862-INDEX('Step 4 Stage Discharge'!E$26:F$126,MATCH(F862,'Step 4 Stage Discharge'!E$26:E$126,1),1))/(INDEX('Step 4 Stage Discharge'!E$26:F$126,MATCH(F862,'Step 4 Stage Discharge'!E$26:E$126,1)+1,1)-INDEX('Step 4 Stage Discharge'!E$26:F$126,MATCH(F862,'Step 4 Stage Discharge'!E$26:E$126,1),1))</f>
        <v>0</v>
      </c>
      <c r="H862" s="149"/>
      <c r="I862" s="149">
        <f>INDEX('Step 4 Stage Discharge'!E$26:M$126,MATCH(F862,'Step 4 Stage Discharge'!E$26:E$126,1),9)+(INDEX('Step 4 Stage Discharge'!E$26:M$126,MATCH('Step 5 Routing'!F862,'Step 4 Stage Discharge'!E$26:E$126,1)+1,9)-INDEX('Step 4 Stage Discharge'!E$26:M$126,MATCH('Step 5 Routing'!F862,'Step 4 Stage Discharge'!E$26:E$126,1),9))*('Step 5 Routing'!F862-INDEX('Step 4 Stage Discharge'!E$26:M$126,MATCH('Step 5 Routing'!F862,'Step 4 Stage Discharge'!E$26:E$126,1),1))/(INDEX('Step 4 Stage Discharge'!E$26:M$126,MATCH('Step 5 Routing'!F862,'Step 4 Stage Discharge'!E$26:E$126,1)+1,1)-INDEX('Step 4 Stage Discharge'!E$26:M$126,MATCH('Step 5 Routing'!F862,'Step 4 Stage Discharge'!E$26:E$126,1),1))</f>
        <v>4.3639431710317386E-3</v>
      </c>
      <c r="J862" s="149"/>
      <c r="K862" s="6">
        <f t="shared" si="66"/>
        <v>0</v>
      </c>
      <c r="L862" s="6">
        <f t="shared" si="67"/>
        <v>0</v>
      </c>
    </row>
    <row r="863" spans="1:12">
      <c r="A863">
        <f t="shared" si="68"/>
        <v>850</v>
      </c>
      <c r="B863" s="136">
        <f>IF(C$5=Data!D$3,'Step 2 Inflow Hydrograph'!H907,IF(C$5=Data!D$4,'Step 2 Inflow Hydrograph'!I907,IF(C$5=Data!D$5,'Step 2 Inflow Hydrograph'!J907,'Step 2 Inflow Hydrograph'!K907)))</f>
        <v>0</v>
      </c>
      <c r="C863" s="127"/>
      <c r="D863" s="6">
        <f t="shared" si="65"/>
        <v>0</v>
      </c>
      <c r="E863" s="6"/>
      <c r="F863" s="6">
        <f t="shared" si="69"/>
        <v>0</v>
      </c>
      <c r="G863" s="149">
        <f>INDEX('Step 4 Stage Discharge'!E$26:F$126,MATCH(F863,'Step 4 Stage Discharge'!E$26:E$126,1),2)+(INDEX('Step 4 Stage Discharge'!E$26:F$126,MATCH(F863,'Step 4 Stage Discharge'!E$26:E$126,1)+1,2)-INDEX('Step 4 Stage Discharge'!E$26:F$126,MATCH(F863,'Step 4 Stage Discharge'!E$26:E$126,1),2))*(F863-INDEX('Step 4 Stage Discharge'!E$26:F$126,MATCH(F863,'Step 4 Stage Discharge'!E$26:E$126,1),1))/(INDEX('Step 4 Stage Discharge'!E$26:F$126,MATCH(F863,'Step 4 Stage Discharge'!E$26:E$126,1)+1,1)-INDEX('Step 4 Stage Discharge'!E$26:F$126,MATCH(F863,'Step 4 Stage Discharge'!E$26:E$126,1),1))</f>
        <v>0</v>
      </c>
      <c r="H863" s="149"/>
      <c r="I863" s="149">
        <f>INDEX('Step 4 Stage Discharge'!E$26:M$126,MATCH(F863,'Step 4 Stage Discharge'!E$26:E$126,1),9)+(INDEX('Step 4 Stage Discharge'!E$26:M$126,MATCH('Step 5 Routing'!F863,'Step 4 Stage Discharge'!E$26:E$126,1)+1,9)-INDEX('Step 4 Stage Discharge'!E$26:M$126,MATCH('Step 5 Routing'!F863,'Step 4 Stage Discharge'!E$26:E$126,1),9))*('Step 5 Routing'!F863-INDEX('Step 4 Stage Discharge'!E$26:M$126,MATCH('Step 5 Routing'!F863,'Step 4 Stage Discharge'!E$26:E$126,1),1))/(INDEX('Step 4 Stage Discharge'!E$26:M$126,MATCH('Step 5 Routing'!F863,'Step 4 Stage Discharge'!E$26:E$126,1)+1,1)-INDEX('Step 4 Stage Discharge'!E$26:M$126,MATCH('Step 5 Routing'!F863,'Step 4 Stage Discharge'!E$26:E$126,1),1))</f>
        <v>4.3639431710317386E-3</v>
      </c>
      <c r="J863" s="149"/>
      <c r="K863" s="6">
        <f t="shared" si="66"/>
        <v>0</v>
      </c>
      <c r="L863" s="6">
        <f t="shared" si="67"/>
        <v>0</v>
      </c>
    </row>
    <row r="864" spans="1:12">
      <c r="A864">
        <f t="shared" si="68"/>
        <v>851</v>
      </c>
      <c r="B864" s="136">
        <f>IF(C$5=Data!D$3,'Step 2 Inflow Hydrograph'!H908,IF(C$5=Data!D$4,'Step 2 Inflow Hydrograph'!I908,IF(C$5=Data!D$5,'Step 2 Inflow Hydrograph'!J908,'Step 2 Inflow Hydrograph'!K908)))</f>
        <v>0</v>
      </c>
      <c r="C864" s="127"/>
      <c r="D864" s="6">
        <f t="shared" si="65"/>
        <v>0</v>
      </c>
      <c r="E864" s="6"/>
      <c r="F864" s="6">
        <f t="shared" si="69"/>
        <v>0</v>
      </c>
      <c r="G864" s="149">
        <f>INDEX('Step 4 Stage Discharge'!E$26:F$126,MATCH(F864,'Step 4 Stage Discharge'!E$26:E$126,1),2)+(INDEX('Step 4 Stage Discharge'!E$26:F$126,MATCH(F864,'Step 4 Stage Discharge'!E$26:E$126,1)+1,2)-INDEX('Step 4 Stage Discharge'!E$26:F$126,MATCH(F864,'Step 4 Stage Discharge'!E$26:E$126,1),2))*(F864-INDEX('Step 4 Stage Discharge'!E$26:F$126,MATCH(F864,'Step 4 Stage Discharge'!E$26:E$126,1),1))/(INDEX('Step 4 Stage Discharge'!E$26:F$126,MATCH(F864,'Step 4 Stage Discharge'!E$26:E$126,1)+1,1)-INDEX('Step 4 Stage Discharge'!E$26:F$126,MATCH(F864,'Step 4 Stage Discharge'!E$26:E$126,1),1))</f>
        <v>0</v>
      </c>
      <c r="H864" s="149"/>
      <c r="I864" s="149">
        <f>INDEX('Step 4 Stage Discharge'!E$26:M$126,MATCH(F864,'Step 4 Stage Discharge'!E$26:E$126,1),9)+(INDEX('Step 4 Stage Discharge'!E$26:M$126,MATCH('Step 5 Routing'!F864,'Step 4 Stage Discharge'!E$26:E$126,1)+1,9)-INDEX('Step 4 Stage Discharge'!E$26:M$126,MATCH('Step 5 Routing'!F864,'Step 4 Stage Discharge'!E$26:E$126,1),9))*('Step 5 Routing'!F864-INDEX('Step 4 Stage Discharge'!E$26:M$126,MATCH('Step 5 Routing'!F864,'Step 4 Stage Discharge'!E$26:E$126,1),1))/(INDEX('Step 4 Stage Discharge'!E$26:M$126,MATCH('Step 5 Routing'!F864,'Step 4 Stage Discharge'!E$26:E$126,1)+1,1)-INDEX('Step 4 Stage Discharge'!E$26:M$126,MATCH('Step 5 Routing'!F864,'Step 4 Stage Discharge'!E$26:E$126,1),1))</f>
        <v>4.3639431710317386E-3</v>
      </c>
      <c r="J864" s="149"/>
      <c r="K864" s="6">
        <f t="shared" si="66"/>
        <v>0</v>
      </c>
      <c r="L864" s="6">
        <f t="shared" si="67"/>
        <v>0</v>
      </c>
    </row>
    <row r="865" spans="1:12">
      <c r="A865">
        <f t="shared" si="68"/>
        <v>852</v>
      </c>
      <c r="B865" s="136">
        <f>IF(C$5=Data!D$3,'Step 2 Inflow Hydrograph'!H909,IF(C$5=Data!D$4,'Step 2 Inflow Hydrograph'!I909,IF(C$5=Data!D$5,'Step 2 Inflow Hydrograph'!J909,'Step 2 Inflow Hydrograph'!K909)))</f>
        <v>0</v>
      </c>
      <c r="C865" s="127"/>
      <c r="D865" s="6">
        <f t="shared" si="65"/>
        <v>0</v>
      </c>
      <c r="E865" s="6"/>
      <c r="F865" s="6">
        <f t="shared" si="69"/>
        <v>0</v>
      </c>
      <c r="G865" s="149">
        <f>INDEX('Step 4 Stage Discharge'!E$26:F$126,MATCH(F865,'Step 4 Stage Discharge'!E$26:E$126,1),2)+(INDEX('Step 4 Stage Discharge'!E$26:F$126,MATCH(F865,'Step 4 Stage Discharge'!E$26:E$126,1)+1,2)-INDEX('Step 4 Stage Discharge'!E$26:F$126,MATCH(F865,'Step 4 Stage Discharge'!E$26:E$126,1),2))*(F865-INDEX('Step 4 Stage Discharge'!E$26:F$126,MATCH(F865,'Step 4 Stage Discharge'!E$26:E$126,1),1))/(INDEX('Step 4 Stage Discharge'!E$26:F$126,MATCH(F865,'Step 4 Stage Discharge'!E$26:E$126,1)+1,1)-INDEX('Step 4 Stage Discharge'!E$26:F$126,MATCH(F865,'Step 4 Stage Discharge'!E$26:E$126,1),1))</f>
        <v>0</v>
      </c>
      <c r="H865" s="149"/>
      <c r="I865" s="149">
        <f>INDEX('Step 4 Stage Discharge'!E$26:M$126,MATCH(F865,'Step 4 Stage Discharge'!E$26:E$126,1),9)+(INDEX('Step 4 Stage Discharge'!E$26:M$126,MATCH('Step 5 Routing'!F865,'Step 4 Stage Discharge'!E$26:E$126,1)+1,9)-INDEX('Step 4 Stage Discharge'!E$26:M$126,MATCH('Step 5 Routing'!F865,'Step 4 Stage Discharge'!E$26:E$126,1),9))*('Step 5 Routing'!F865-INDEX('Step 4 Stage Discharge'!E$26:M$126,MATCH('Step 5 Routing'!F865,'Step 4 Stage Discharge'!E$26:E$126,1),1))/(INDEX('Step 4 Stage Discharge'!E$26:M$126,MATCH('Step 5 Routing'!F865,'Step 4 Stage Discharge'!E$26:E$126,1)+1,1)-INDEX('Step 4 Stage Discharge'!E$26:M$126,MATCH('Step 5 Routing'!F865,'Step 4 Stage Discharge'!E$26:E$126,1),1))</f>
        <v>4.3639431710317386E-3</v>
      </c>
      <c r="J865" s="149"/>
      <c r="K865" s="6">
        <f t="shared" si="66"/>
        <v>0</v>
      </c>
      <c r="L865" s="6">
        <f t="shared" si="67"/>
        <v>0</v>
      </c>
    </row>
    <row r="866" spans="1:12">
      <c r="A866">
        <f t="shared" si="68"/>
        <v>853</v>
      </c>
      <c r="B866" s="136">
        <f>IF(C$5=Data!D$3,'Step 2 Inflow Hydrograph'!H910,IF(C$5=Data!D$4,'Step 2 Inflow Hydrograph'!I910,IF(C$5=Data!D$5,'Step 2 Inflow Hydrograph'!J910,'Step 2 Inflow Hydrograph'!K910)))</f>
        <v>0</v>
      </c>
      <c r="C866" s="127"/>
      <c r="D866" s="6">
        <f t="shared" si="65"/>
        <v>0</v>
      </c>
      <c r="E866" s="6"/>
      <c r="F866" s="6">
        <f t="shared" si="69"/>
        <v>0</v>
      </c>
      <c r="G866" s="149">
        <f>INDEX('Step 4 Stage Discharge'!E$26:F$126,MATCH(F866,'Step 4 Stage Discharge'!E$26:E$126,1),2)+(INDEX('Step 4 Stage Discharge'!E$26:F$126,MATCH(F866,'Step 4 Stage Discharge'!E$26:E$126,1)+1,2)-INDEX('Step 4 Stage Discharge'!E$26:F$126,MATCH(F866,'Step 4 Stage Discharge'!E$26:E$126,1),2))*(F866-INDEX('Step 4 Stage Discharge'!E$26:F$126,MATCH(F866,'Step 4 Stage Discharge'!E$26:E$126,1),1))/(INDEX('Step 4 Stage Discharge'!E$26:F$126,MATCH(F866,'Step 4 Stage Discharge'!E$26:E$126,1)+1,1)-INDEX('Step 4 Stage Discharge'!E$26:F$126,MATCH(F866,'Step 4 Stage Discharge'!E$26:E$126,1),1))</f>
        <v>0</v>
      </c>
      <c r="H866" s="149"/>
      <c r="I866" s="149">
        <f>INDEX('Step 4 Stage Discharge'!E$26:M$126,MATCH(F866,'Step 4 Stage Discharge'!E$26:E$126,1),9)+(INDEX('Step 4 Stage Discharge'!E$26:M$126,MATCH('Step 5 Routing'!F866,'Step 4 Stage Discharge'!E$26:E$126,1)+1,9)-INDEX('Step 4 Stage Discharge'!E$26:M$126,MATCH('Step 5 Routing'!F866,'Step 4 Stage Discharge'!E$26:E$126,1),9))*('Step 5 Routing'!F866-INDEX('Step 4 Stage Discharge'!E$26:M$126,MATCH('Step 5 Routing'!F866,'Step 4 Stage Discharge'!E$26:E$126,1),1))/(INDEX('Step 4 Stage Discharge'!E$26:M$126,MATCH('Step 5 Routing'!F866,'Step 4 Stage Discharge'!E$26:E$126,1)+1,1)-INDEX('Step 4 Stage Discharge'!E$26:M$126,MATCH('Step 5 Routing'!F866,'Step 4 Stage Discharge'!E$26:E$126,1),1))</f>
        <v>4.3639431710317386E-3</v>
      </c>
      <c r="J866" s="149"/>
      <c r="K866" s="6">
        <f t="shared" si="66"/>
        <v>0</v>
      </c>
      <c r="L866" s="6">
        <f t="shared" si="67"/>
        <v>0</v>
      </c>
    </row>
    <row r="867" spans="1:12">
      <c r="A867">
        <f t="shared" si="68"/>
        <v>854</v>
      </c>
      <c r="B867" s="136">
        <f>IF(C$5=Data!D$3,'Step 2 Inflow Hydrograph'!H911,IF(C$5=Data!D$4,'Step 2 Inflow Hydrograph'!I911,IF(C$5=Data!D$5,'Step 2 Inflow Hydrograph'!J911,'Step 2 Inflow Hydrograph'!K911)))</f>
        <v>0</v>
      </c>
      <c r="C867" s="127"/>
      <c r="D867" s="6">
        <f t="shared" si="65"/>
        <v>0</v>
      </c>
      <c r="E867" s="6"/>
      <c r="F867" s="6">
        <f t="shared" si="69"/>
        <v>0</v>
      </c>
      <c r="G867" s="149">
        <f>INDEX('Step 4 Stage Discharge'!E$26:F$126,MATCH(F867,'Step 4 Stage Discharge'!E$26:E$126,1),2)+(INDEX('Step 4 Stage Discharge'!E$26:F$126,MATCH(F867,'Step 4 Stage Discharge'!E$26:E$126,1)+1,2)-INDEX('Step 4 Stage Discharge'!E$26:F$126,MATCH(F867,'Step 4 Stage Discharge'!E$26:E$126,1),2))*(F867-INDEX('Step 4 Stage Discharge'!E$26:F$126,MATCH(F867,'Step 4 Stage Discharge'!E$26:E$126,1),1))/(INDEX('Step 4 Stage Discharge'!E$26:F$126,MATCH(F867,'Step 4 Stage Discharge'!E$26:E$126,1)+1,1)-INDEX('Step 4 Stage Discharge'!E$26:F$126,MATCH(F867,'Step 4 Stage Discharge'!E$26:E$126,1),1))</f>
        <v>0</v>
      </c>
      <c r="H867" s="149"/>
      <c r="I867" s="149">
        <f>INDEX('Step 4 Stage Discharge'!E$26:M$126,MATCH(F867,'Step 4 Stage Discharge'!E$26:E$126,1),9)+(INDEX('Step 4 Stage Discharge'!E$26:M$126,MATCH('Step 5 Routing'!F867,'Step 4 Stage Discharge'!E$26:E$126,1)+1,9)-INDEX('Step 4 Stage Discharge'!E$26:M$126,MATCH('Step 5 Routing'!F867,'Step 4 Stage Discharge'!E$26:E$126,1),9))*('Step 5 Routing'!F867-INDEX('Step 4 Stage Discharge'!E$26:M$126,MATCH('Step 5 Routing'!F867,'Step 4 Stage Discharge'!E$26:E$126,1),1))/(INDEX('Step 4 Stage Discharge'!E$26:M$126,MATCH('Step 5 Routing'!F867,'Step 4 Stage Discharge'!E$26:E$126,1)+1,1)-INDEX('Step 4 Stage Discharge'!E$26:M$126,MATCH('Step 5 Routing'!F867,'Step 4 Stage Discharge'!E$26:E$126,1),1))</f>
        <v>4.3639431710317386E-3</v>
      </c>
      <c r="J867" s="149"/>
      <c r="K867" s="6">
        <f t="shared" si="66"/>
        <v>0</v>
      </c>
      <c r="L867" s="6">
        <f t="shared" si="67"/>
        <v>0</v>
      </c>
    </row>
    <row r="868" spans="1:12">
      <c r="A868">
        <f t="shared" si="68"/>
        <v>855</v>
      </c>
      <c r="B868" s="136">
        <f>IF(C$5=Data!D$3,'Step 2 Inflow Hydrograph'!H912,IF(C$5=Data!D$4,'Step 2 Inflow Hydrograph'!I912,IF(C$5=Data!D$5,'Step 2 Inflow Hydrograph'!J912,'Step 2 Inflow Hydrograph'!K912)))</f>
        <v>0</v>
      </c>
      <c r="C868" s="127"/>
      <c r="D868" s="6">
        <f t="shared" si="65"/>
        <v>0</v>
      </c>
      <c r="E868" s="6"/>
      <c r="F868" s="6">
        <f t="shared" si="69"/>
        <v>0</v>
      </c>
      <c r="G868" s="149">
        <f>INDEX('Step 4 Stage Discharge'!E$26:F$126,MATCH(F868,'Step 4 Stage Discharge'!E$26:E$126,1),2)+(INDEX('Step 4 Stage Discharge'!E$26:F$126,MATCH(F868,'Step 4 Stage Discharge'!E$26:E$126,1)+1,2)-INDEX('Step 4 Stage Discharge'!E$26:F$126,MATCH(F868,'Step 4 Stage Discharge'!E$26:E$126,1),2))*(F868-INDEX('Step 4 Stage Discharge'!E$26:F$126,MATCH(F868,'Step 4 Stage Discharge'!E$26:E$126,1),1))/(INDEX('Step 4 Stage Discharge'!E$26:F$126,MATCH(F868,'Step 4 Stage Discharge'!E$26:E$126,1)+1,1)-INDEX('Step 4 Stage Discharge'!E$26:F$126,MATCH(F868,'Step 4 Stage Discharge'!E$26:E$126,1),1))</f>
        <v>0</v>
      </c>
      <c r="H868" s="149"/>
      <c r="I868" s="149">
        <f>INDEX('Step 4 Stage Discharge'!E$26:M$126,MATCH(F868,'Step 4 Stage Discharge'!E$26:E$126,1),9)+(INDEX('Step 4 Stage Discharge'!E$26:M$126,MATCH('Step 5 Routing'!F868,'Step 4 Stage Discharge'!E$26:E$126,1)+1,9)-INDEX('Step 4 Stage Discharge'!E$26:M$126,MATCH('Step 5 Routing'!F868,'Step 4 Stage Discharge'!E$26:E$126,1),9))*('Step 5 Routing'!F868-INDEX('Step 4 Stage Discharge'!E$26:M$126,MATCH('Step 5 Routing'!F868,'Step 4 Stage Discharge'!E$26:E$126,1),1))/(INDEX('Step 4 Stage Discharge'!E$26:M$126,MATCH('Step 5 Routing'!F868,'Step 4 Stage Discharge'!E$26:E$126,1)+1,1)-INDEX('Step 4 Stage Discharge'!E$26:M$126,MATCH('Step 5 Routing'!F868,'Step 4 Stage Discharge'!E$26:E$126,1),1))</f>
        <v>4.3639431710317386E-3</v>
      </c>
      <c r="J868" s="149"/>
      <c r="K868" s="6">
        <f t="shared" si="66"/>
        <v>0</v>
      </c>
      <c r="L868" s="6">
        <f t="shared" si="67"/>
        <v>0</v>
      </c>
    </row>
    <row r="869" spans="1:12">
      <c r="A869">
        <f t="shared" si="68"/>
        <v>856</v>
      </c>
      <c r="B869" s="136">
        <f>IF(C$5=Data!D$3,'Step 2 Inflow Hydrograph'!H913,IF(C$5=Data!D$4,'Step 2 Inflow Hydrograph'!I913,IF(C$5=Data!D$5,'Step 2 Inflow Hydrograph'!J913,'Step 2 Inflow Hydrograph'!K913)))</f>
        <v>0</v>
      </c>
      <c r="C869" s="127"/>
      <c r="D869" s="6">
        <f t="shared" si="65"/>
        <v>0</v>
      </c>
      <c r="E869" s="6"/>
      <c r="F869" s="6">
        <f t="shared" si="69"/>
        <v>0</v>
      </c>
      <c r="G869" s="149">
        <f>INDEX('Step 4 Stage Discharge'!E$26:F$126,MATCH(F869,'Step 4 Stage Discharge'!E$26:E$126,1),2)+(INDEX('Step 4 Stage Discharge'!E$26:F$126,MATCH(F869,'Step 4 Stage Discharge'!E$26:E$126,1)+1,2)-INDEX('Step 4 Stage Discharge'!E$26:F$126,MATCH(F869,'Step 4 Stage Discharge'!E$26:E$126,1),2))*(F869-INDEX('Step 4 Stage Discharge'!E$26:F$126,MATCH(F869,'Step 4 Stage Discharge'!E$26:E$126,1),1))/(INDEX('Step 4 Stage Discharge'!E$26:F$126,MATCH(F869,'Step 4 Stage Discharge'!E$26:E$126,1)+1,1)-INDEX('Step 4 Stage Discharge'!E$26:F$126,MATCH(F869,'Step 4 Stage Discharge'!E$26:E$126,1),1))</f>
        <v>0</v>
      </c>
      <c r="H869" s="149"/>
      <c r="I869" s="149">
        <f>INDEX('Step 4 Stage Discharge'!E$26:M$126,MATCH(F869,'Step 4 Stage Discharge'!E$26:E$126,1),9)+(INDEX('Step 4 Stage Discharge'!E$26:M$126,MATCH('Step 5 Routing'!F869,'Step 4 Stage Discharge'!E$26:E$126,1)+1,9)-INDEX('Step 4 Stage Discharge'!E$26:M$126,MATCH('Step 5 Routing'!F869,'Step 4 Stage Discharge'!E$26:E$126,1),9))*('Step 5 Routing'!F869-INDEX('Step 4 Stage Discharge'!E$26:M$126,MATCH('Step 5 Routing'!F869,'Step 4 Stage Discharge'!E$26:E$126,1),1))/(INDEX('Step 4 Stage Discharge'!E$26:M$126,MATCH('Step 5 Routing'!F869,'Step 4 Stage Discharge'!E$26:E$126,1)+1,1)-INDEX('Step 4 Stage Discharge'!E$26:M$126,MATCH('Step 5 Routing'!F869,'Step 4 Stage Discharge'!E$26:E$126,1),1))</f>
        <v>4.3639431710317386E-3</v>
      </c>
      <c r="J869" s="149"/>
      <c r="K869" s="6">
        <f t="shared" si="66"/>
        <v>0</v>
      </c>
      <c r="L869" s="6">
        <f t="shared" si="67"/>
        <v>0</v>
      </c>
    </row>
    <row r="870" spans="1:12">
      <c r="A870">
        <f t="shared" si="68"/>
        <v>857</v>
      </c>
      <c r="B870" s="136">
        <f>IF(C$5=Data!D$3,'Step 2 Inflow Hydrograph'!H914,IF(C$5=Data!D$4,'Step 2 Inflow Hydrograph'!I914,IF(C$5=Data!D$5,'Step 2 Inflow Hydrograph'!J914,'Step 2 Inflow Hydrograph'!K914)))</f>
        <v>0</v>
      </c>
      <c r="C870" s="127"/>
      <c r="D870" s="6">
        <f t="shared" si="65"/>
        <v>0</v>
      </c>
      <c r="E870" s="6"/>
      <c r="F870" s="6">
        <f t="shared" si="69"/>
        <v>0</v>
      </c>
      <c r="G870" s="149">
        <f>INDEX('Step 4 Stage Discharge'!E$26:F$126,MATCH(F870,'Step 4 Stage Discharge'!E$26:E$126,1),2)+(INDEX('Step 4 Stage Discharge'!E$26:F$126,MATCH(F870,'Step 4 Stage Discharge'!E$26:E$126,1)+1,2)-INDEX('Step 4 Stage Discharge'!E$26:F$126,MATCH(F870,'Step 4 Stage Discharge'!E$26:E$126,1),2))*(F870-INDEX('Step 4 Stage Discharge'!E$26:F$126,MATCH(F870,'Step 4 Stage Discharge'!E$26:E$126,1),1))/(INDEX('Step 4 Stage Discharge'!E$26:F$126,MATCH(F870,'Step 4 Stage Discharge'!E$26:E$126,1)+1,1)-INDEX('Step 4 Stage Discharge'!E$26:F$126,MATCH(F870,'Step 4 Stage Discharge'!E$26:E$126,1),1))</f>
        <v>0</v>
      </c>
      <c r="H870" s="149"/>
      <c r="I870" s="149">
        <f>INDEX('Step 4 Stage Discharge'!E$26:M$126,MATCH(F870,'Step 4 Stage Discharge'!E$26:E$126,1),9)+(INDEX('Step 4 Stage Discharge'!E$26:M$126,MATCH('Step 5 Routing'!F870,'Step 4 Stage Discharge'!E$26:E$126,1)+1,9)-INDEX('Step 4 Stage Discharge'!E$26:M$126,MATCH('Step 5 Routing'!F870,'Step 4 Stage Discharge'!E$26:E$126,1),9))*('Step 5 Routing'!F870-INDEX('Step 4 Stage Discharge'!E$26:M$126,MATCH('Step 5 Routing'!F870,'Step 4 Stage Discharge'!E$26:E$126,1),1))/(INDEX('Step 4 Stage Discharge'!E$26:M$126,MATCH('Step 5 Routing'!F870,'Step 4 Stage Discharge'!E$26:E$126,1)+1,1)-INDEX('Step 4 Stage Discharge'!E$26:M$126,MATCH('Step 5 Routing'!F870,'Step 4 Stage Discharge'!E$26:E$126,1),1))</f>
        <v>4.3639431710317386E-3</v>
      </c>
      <c r="J870" s="149"/>
      <c r="K870" s="6">
        <f t="shared" si="66"/>
        <v>0</v>
      </c>
      <c r="L870" s="6">
        <f t="shared" si="67"/>
        <v>0</v>
      </c>
    </row>
    <row r="871" spans="1:12">
      <c r="A871">
        <f t="shared" si="68"/>
        <v>858</v>
      </c>
      <c r="B871" s="136">
        <f>IF(C$5=Data!D$3,'Step 2 Inflow Hydrograph'!H915,IF(C$5=Data!D$4,'Step 2 Inflow Hydrograph'!I915,IF(C$5=Data!D$5,'Step 2 Inflow Hydrograph'!J915,'Step 2 Inflow Hydrograph'!K915)))</f>
        <v>0</v>
      </c>
      <c r="C871" s="127"/>
      <c r="D871" s="6">
        <f t="shared" si="65"/>
        <v>0</v>
      </c>
      <c r="E871" s="6"/>
      <c r="F871" s="6">
        <f t="shared" si="69"/>
        <v>0</v>
      </c>
      <c r="G871" s="149">
        <f>INDEX('Step 4 Stage Discharge'!E$26:F$126,MATCH(F871,'Step 4 Stage Discharge'!E$26:E$126,1),2)+(INDEX('Step 4 Stage Discharge'!E$26:F$126,MATCH(F871,'Step 4 Stage Discharge'!E$26:E$126,1)+1,2)-INDEX('Step 4 Stage Discharge'!E$26:F$126,MATCH(F871,'Step 4 Stage Discharge'!E$26:E$126,1),2))*(F871-INDEX('Step 4 Stage Discharge'!E$26:F$126,MATCH(F871,'Step 4 Stage Discharge'!E$26:E$126,1),1))/(INDEX('Step 4 Stage Discharge'!E$26:F$126,MATCH(F871,'Step 4 Stage Discharge'!E$26:E$126,1)+1,1)-INDEX('Step 4 Stage Discharge'!E$26:F$126,MATCH(F871,'Step 4 Stage Discharge'!E$26:E$126,1),1))</f>
        <v>0</v>
      </c>
      <c r="H871" s="149"/>
      <c r="I871" s="149">
        <f>INDEX('Step 4 Stage Discharge'!E$26:M$126,MATCH(F871,'Step 4 Stage Discharge'!E$26:E$126,1),9)+(INDEX('Step 4 Stage Discharge'!E$26:M$126,MATCH('Step 5 Routing'!F871,'Step 4 Stage Discharge'!E$26:E$126,1)+1,9)-INDEX('Step 4 Stage Discharge'!E$26:M$126,MATCH('Step 5 Routing'!F871,'Step 4 Stage Discharge'!E$26:E$126,1),9))*('Step 5 Routing'!F871-INDEX('Step 4 Stage Discharge'!E$26:M$126,MATCH('Step 5 Routing'!F871,'Step 4 Stage Discharge'!E$26:E$126,1),1))/(INDEX('Step 4 Stage Discharge'!E$26:M$126,MATCH('Step 5 Routing'!F871,'Step 4 Stage Discharge'!E$26:E$126,1)+1,1)-INDEX('Step 4 Stage Discharge'!E$26:M$126,MATCH('Step 5 Routing'!F871,'Step 4 Stage Discharge'!E$26:E$126,1),1))</f>
        <v>4.3639431710317386E-3</v>
      </c>
      <c r="J871" s="149"/>
      <c r="K871" s="6">
        <f t="shared" si="66"/>
        <v>0</v>
      </c>
      <c r="L871" s="6">
        <f t="shared" si="67"/>
        <v>0</v>
      </c>
    </row>
    <row r="872" spans="1:12">
      <c r="A872">
        <f t="shared" si="68"/>
        <v>859</v>
      </c>
      <c r="B872" s="136">
        <f>IF(C$5=Data!D$3,'Step 2 Inflow Hydrograph'!H916,IF(C$5=Data!D$4,'Step 2 Inflow Hydrograph'!I916,IF(C$5=Data!D$5,'Step 2 Inflow Hydrograph'!J916,'Step 2 Inflow Hydrograph'!K916)))</f>
        <v>0</v>
      </c>
      <c r="C872" s="127"/>
      <c r="D872" s="6">
        <f t="shared" si="65"/>
        <v>0</v>
      </c>
      <c r="E872" s="6"/>
      <c r="F872" s="6">
        <f t="shared" si="69"/>
        <v>0</v>
      </c>
      <c r="G872" s="149">
        <f>INDEX('Step 4 Stage Discharge'!E$26:F$126,MATCH(F872,'Step 4 Stage Discharge'!E$26:E$126,1),2)+(INDEX('Step 4 Stage Discharge'!E$26:F$126,MATCH(F872,'Step 4 Stage Discharge'!E$26:E$126,1)+1,2)-INDEX('Step 4 Stage Discharge'!E$26:F$126,MATCH(F872,'Step 4 Stage Discharge'!E$26:E$126,1),2))*(F872-INDEX('Step 4 Stage Discharge'!E$26:F$126,MATCH(F872,'Step 4 Stage Discharge'!E$26:E$126,1),1))/(INDEX('Step 4 Stage Discharge'!E$26:F$126,MATCH(F872,'Step 4 Stage Discharge'!E$26:E$126,1)+1,1)-INDEX('Step 4 Stage Discharge'!E$26:F$126,MATCH(F872,'Step 4 Stage Discharge'!E$26:E$126,1),1))</f>
        <v>0</v>
      </c>
      <c r="H872" s="149"/>
      <c r="I872" s="149">
        <f>INDEX('Step 4 Stage Discharge'!E$26:M$126,MATCH(F872,'Step 4 Stage Discharge'!E$26:E$126,1),9)+(INDEX('Step 4 Stage Discharge'!E$26:M$126,MATCH('Step 5 Routing'!F872,'Step 4 Stage Discharge'!E$26:E$126,1)+1,9)-INDEX('Step 4 Stage Discharge'!E$26:M$126,MATCH('Step 5 Routing'!F872,'Step 4 Stage Discharge'!E$26:E$126,1),9))*('Step 5 Routing'!F872-INDEX('Step 4 Stage Discharge'!E$26:M$126,MATCH('Step 5 Routing'!F872,'Step 4 Stage Discharge'!E$26:E$126,1),1))/(INDEX('Step 4 Stage Discharge'!E$26:M$126,MATCH('Step 5 Routing'!F872,'Step 4 Stage Discharge'!E$26:E$126,1)+1,1)-INDEX('Step 4 Stage Discharge'!E$26:M$126,MATCH('Step 5 Routing'!F872,'Step 4 Stage Discharge'!E$26:E$126,1),1))</f>
        <v>4.3639431710317386E-3</v>
      </c>
      <c r="J872" s="149"/>
      <c r="K872" s="6">
        <f t="shared" si="66"/>
        <v>0</v>
      </c>
      <c r="L872" s="6">
        <f t="shared" si="67"/>
        <v>0</v>
      </c>
    </row>
    <row r="873" spans="1:12">
      <c r="A873">
        <f t="shared" si="68"/>
        <v>860</v>
      </c>
      <c r="B873" s="136">
        <f>IF(C$5=Data!D$3,'Step 2 Inflow Hydrograph'!H917,IF(C$5=Data!D$4,'Step 2 Inflow Hydrograph'!I917,IF(C$5=Data!D$5,'Step 2 Inflow Hydrograph'!J917,'Step 2 Inflow Hydrograph'!K917)))</f>
        <v>0</v>
      </c>
      <c r="C873" s="127"/>
      <c r="D873" s="6">
        <f t="shared" si="65"/>
        <v>0</v>
      </c>
      <c r="E873" s="6"/>
      <c r="F873" s="6">
        <f t="shared" si="69"/>
        <v>0</v>
      </c>
      <c r="G873" s="149">
        <f>INDEX('Step 4 Stage Discharge'!E$26:F$126,MATCH(F873,'Step 4 Stage Discharge'!E$26:E$126,1),2)+(INDEX('Step 4 Stage Discharge'!E$26:F$126,MATCH(F873,'Step 4 Stage Discharge'!E$26:E$126,1)+1,2)-INDEX('Step 4 Stage Discharge'!E$26:F$126,MATCH(F873,'Step 4 Stage Discharge'!E$26:E$126,1),2))*(F873-INDEX('Step 4 Stage Discharge'!E$26:F$126,MATCH(F873,'Step 4 Stage Discharge'!E$26:E$126,1),1))/(INDEX('Step 4 Stage Discharge'!E$26:F$126,MATCH(F873,'Step 4 Stage Discharge'!E$26:E$126,1)+1,1)-INDEX('Step 4 Stage Discharge'!E$26:F$126,MATCH(F873,'Step 4 Stage Discharge'!E$26:E$126,1),1))</f>
        <v>0</v>
      </c>
      <c r="H873" s="149"/>
      <c r="I873" s="149">
        <f>INDEX('Step 4 Stage Discharge'!E$26:M$126,MATCH(F873,'Step 4 Stage Discharge'!E$26:E$126,1),9)+(INDEX('Step 4 Stage Discharge'!E$26:M$126,MATCH('Step 5 Routing'!F873,'Step 4 Stage Discharge'!E$26:E$126,1)+1,9)-INDEX('Step 4 Stage Discharge'!E$26:M$126,MATCH('Step 5 Routing'!F873,'Step 4 Stage Discharge'!E$26:E$126,1),9))*('Step 5 Routing'!F873-INDEX('Step 4 Stage Discharge'!E$26:M$126,MATCH('Step 5 Routing'!F873,'Step 4 Stage Discharge'!E$26:E$126,1),1))/(INDEX('Step 4 Stage Discharge'!E$26:M$126,MATCH('Step 5 Routing'!F873,'Step 4 Stage Discharge'!E$26:E$126,1)+1,1)-INDEX('Step 4 Stage Discharge'!E$26:M$126,MATCH('Step 5 Routing'!F873,'Step 4 Stage Discharge'!E$26:E$126,1),1))</f>
        <v>4.3639431710317386E-3</v>
      </c>
      <c r="J873" s="149"/>
      <c r="K873" s="6">
        <f t="shared" si="66"/>
        <v>0</v>
      </c>
      <c r="L873" s="6">
        <f t="shared" si="67"/>
        <v>0</v>
      </c>
    </row>
    <row r="874" spans="1:12">
      <c r="A874">
        <f t="shared" si="68"/>
        <v>861</v>
      </c>
      <c r="B874" s="136">
        <f>IF(C$5=Data!D$3,'Step 2 Inflow Hydrograph'!H918,IF(C$5=Data!D$4,'Step 2 Inflow Hydrograph'!I918,IF(C$5=Data!D$5,'Step 2 Inflow Hydrograph'!J918,'Step 2 Inflow Hydrograph'!K918)))</f>
        <v>0</v>
      </c>
      <c r="C874" s="127"/>
      <c r="D874" s="6">
        <f t="shared" si="65"/>
        <v>0</v>
      </c>
      <c r="E874" s="6"/>
      <c r="F874" s="6">
        <f t="shared" si="69"/>
        <v>0</v>
      </c>
      <c r="G874" s="149">
        <f>INDEX('Step 4 Stage Discharge'!E$26:F$126,MATCH(F874,'Step 4 Stage Discharge'!E$26:E$126,1),2)+(INDEX('Step 4 Stage Discharge'!E$26:F$126,MATCH(F874,'Step 4 Stage Discharge'!E$26:E$126,1)+1,2)-INDEX('Step 4 Stage Discharge'!E$26:F$126,MATCH(F874,'Step 4 Stage Discharge'!E$26:E$126,1),2))*(F874-INDEX('Step 4 Stage Discharge'!E$26:F$126,MATCH(F874,'Step 4 Stage Discharge'!E$26:E$126,1),1))/(INDEX('Step 4 Stage Discharge'!E$26:F$126,MATCH(F874,'Step 4 Stage Discharge'!E$26:E$126,1)+1,1)-INDEX('Step 4 Stage Discharge'!E$26:F$126,MATCH(F874,'Step 4 Stage Discharge'!E$26:E$126,1),1))</f>
        <v>0</v>
      </c>
      <c r="H874" s="149"/>
      <c r="I874" s="149">
        <f>INDEX('Step 4 Stage Discharge'!E$26:M$126,MATCH(F874,'Step 4 Stage Discharge'!E$26:E$126,1),9)+(INDEX('Step 4 Stage Discharge'!E$26:M$126,MATCH('Step 5 Routing'!F874,'Step 4 Stage Discharge'!E$26:E$126,1)+1,9)-INDEX('Step 4 Stage Discharge'!E$26:M$126,MATCH('Step 5 Routing'!F874,'Step 4 Stage Discharge'!E$26:E$126,1),9))*('Step 5 Routing'!F874-INDEX('Step 4 Stage Discharge'!E$26:M$126,MATCH('Step 5 Routing'!F874,'Step 4 Stage Discharge'!E$26:E$126,1),1))/(INDEX('Step 4 Stage Discharge'!E$26:M$126,MATCH('Step 5 Routing'!F874,'Step 4 Stage Discharge'!E$26:E$126,1)+1,1)-INDEX('Step 4 Stage Discharge'!E$26:M$126,MATCH('Step 5 Routing'!F874,'Step 4 Stage Discharge'!E$26:E$126,1),1))</f>
        <v>4.3639431710317386E-3</v>
      </c>
      <c r="J874" s="149"/>
      <c r="K874" s="6">
        <f t="shared" si="66"/>
        <v>0</v>
      </c>
      <c r="L874" s="6">
        <f t="shared" si="67"/>
        <v>0</v>
      </c>
    </row>
    <row r="875" spans="1:12">
      <c r="A875">
        <f t="shared" si="68"/>
        <v>862</v>
      </c>
      <c r="B875" s="136">
        <f>IF(C$5=Data!D$3,'Step 2 Inflow Hydrograph'!H919,IF(C$5=Data!D$4,'Step 2 Inflow Hydrograph'!I919,IF(C$5=Data!D$5,'Step 2 Inflow Hydrograph'!J919,'Step 2 Inflow Hydrograph'!K919)))</f>
        <v>0</v>
      </c>
      <c r="C875" s="127"/>
      <c r="D875" s="6">
        <f t="shared" si="65"/>
        <v>0</v>
      </c>
      <c r="E875" s="6"/>
      <c r="F875" s="6">
        <f t="shared" si="69"/>
        <v>0</v>
      </c>
      <c r="G875" s="149">
        <f>INDEX('Step 4 Stage Discharge'!E$26:F$126,MATCH(F875,'Step 4 Stage Discharge'!E$26:E$126,1),2)+(INDEX('Step 4 Stage Discharge'!E$26:F$126,MATCH(F875,'Step 4 Stage Discharge'!E$26:E$126,1)+1,2)-INDEX('Step 4 Stage Discharge'!E$26:F$126,MATCH(F875,'Step 4 Stage Discharge'!E$26:E$126,1),2))*(F875-INDEX('Step 4 Stage Discharge'!E$26:F$126,MATCH(F875,'Step 4 Stage Discharge'!E$26:E$126,1),1))/(INDEX('Step 4 Stage Discharge'!E$26:F$126,MATCH(F875,'Step 4 Stage Discharge'!E$26:E$126,1)+1,1)-INDEX('Step 4 Stage Discharge'!E$26:F$126,MATCH(F875,'Step 4 Stage Discharge'!E$26:E$126,1),1))</f>
        <v>0</v>
      </c>
      <c r="H875" s="149"/>
      <c r="I875" s="149">
        <f>INDEX('Step 4 Stage Discharge'!E$26:M$126,MATCH(F875,'Step 4 Stage Discharge'!E$26:E$126,1),9)+(INDEX('Step 4 Stage Discharge'!E$26:M$126,MATCH('Step 5 Routing'!F875,'Step 4 Stage Discharge'!E$26:E$126,1)+1,9)-INDEX('Step 4 Stage Discharge'!E$26:M$126,MATCH('Step 5 Routing'!F875,'Step 4 Stage Discharge'!E$26:E$126,1),9))*('Step 5 Routing'!F875-INDEX('Step 4 Stage Discharge'!E$26:M$126,MATCH('Step 5 Routing'!F875,'Step 4 Stage Discharge'!E$26:E$126,1),1))/(INDEX('Step 4 Stage Discharge'!E$26:M$126,MATCH('Step 5 Routing'!F875,'Step 4 Stage Discharge'!E$26:E$126,1)+1,1)-INDEX('Step 4 Stage Discharge'!E$26:M$126,MATCH('Step 5 Routing'!F875,'Step 4 Stage Discharge'!E$26:E$126,1),1))</f>
        <v>4.3639431710317386E-3</v>
      </c>
      <c r="J875" s="149"/>
      <c r="K875" s="6">
        <f t="shared" si="66"/>
        <v>0</v>
      </c>
      <c r="L875" s="6">
        <f t="shared" si="67"/>
        <v>0</v>
      </c>
    </row>
    <row r="876" spans="1:12">
      <c r="A876">
        <f t="shared" si="68"/>
        <v>863</v>
      </c>
      <c r="B876" s="136">
        <f>IF(C$5=Data!D$3,'Step 2 Inflow Hydrograph'!H920,IF(C$5=Data!D$4,'Step 2 Inflow Hydrograph'!I920,IF(C$5=Data!D$5,'Step 2 Inflow Hydrograph'!J920,'Step 2 Inflow Hydrograph'!K920)))</f>
        <v>0</v>
      </c>
      <c r="C876" s="127"/>
      <c r="D876" s="6">
        <f t="shared" si="65"/>
        <v>0</v>
      </c>
      <c r="E876" s="6"/>
      <c r="F876" s="6">
        <f t="shared" si="69"/>
        <v>0</v>
      </c>
      <c r="G876" s="149">
        <f>INDEX('Step 4 Stage Discharge'!E$26:F$126,MATCH(F876,'Step 4 Stage Discharge'!E$26:E$126,1),2)+(INDEX('Step 4 Stage Discharge'!E$26:F$126,MATCH(F876,'Step 4 Stage Discharge'!E$26:E$126,1)+1,2)-INDEX('Step 4 Stage Discharge'!E$26:F$126,MATCH(F876,'Step 4 Stage Discharge'!E$26:E$126,1),2))*(F876-INDEX('Step 4 Stage Discharge'!E$26:F$126,MATCH(F876,'Step 4 Stage Discharge'!E$26:E$126,1),1))/(INDEX('Step 4 Stage Discharge'!E$26:F$126,MATCH(F876,'Step 4 Stage Discharge'!E$26:E$126,1)+1,1)-INDEX('Step 4 Stage Discharge'!E$26:F$126,MATCH(F876,'Step 4 Stage Discharge'!E$26:E$126,1),1))</f>
        <v>0</v>
      </c>
      <c r="H876" s="149"/>
      <c r="I876" s="149">
        <f>INDEX('Step 4 Stage Discharge'!E$26:M$126,MATCH(F876,'Step 4 Stage Discharge'!E$26:E$126,1),9)+(INDEX('Step 4 Stage Discharge'!E$26:M$126,MATCH('Step 5 Routing'!F876,'Step 4 Stage Discharge'!E$26:E$126,1)+1,9)-INDEX('Step 4 Stage Discharge'!E$26:M$126,MATCH('Step 5 Routing'!F876,'Step 4 Stage Discharge'!E$26:E$126,1),9))*('Step 5 Routing'!F876-INDEX('Step 4 Stage Discharge'!E$26:M$126,MATCH('Step 5 Routing'!F876,'Step 4 Stage Discharge'!E$26:E$126,1),1))/(INDEX('Step 4 Stage Discharge'!E$26:M$126,MATCH('Step 5 Routing'!F876,'Step 4 Stage Discharge'!E$26:E$126,1)+1,1)-INDEX('Step 4 Stage Discharge'!E$26:M$126,MATCH('Step 5 Routing'!F876,'Step 4 Stage Discharge'!E$26:E$126,1),1))</f>
        <v>4.3639431710317386E-3</v>
      </c>
      <c r="J876" s="149"/>
      <c r="K876" s="6">
        <f t="shared" si="66"/>
        <v>0</v>
      </c>
      <c r="L876" s="6">
        <f t="shared" si="67"/>
        <v>0</v>
      </c>
    </row>
    <row r="877" spans="1:12">
      <c r="A877">
        <f t="shared" si="68"/>
        <v>864</v>
      </c>
      <c r="B877" s="136">
        <f>IF(C$5=Data!D$3,'Step 2 Inflow Hydrograph'!H921,IF(C$5=Data!D$4,'Step 2 Inflow Hydrograph'!I921,IF(C$5=Data!D$5,'Step 2 Inflow Hydrograph'!J921,'Step 2 Inflow Hydrograph'!K921)))</f>
        <v>0</v>
      </c>
      <c r="C877" s="127"/>
      <c r="D877" s="6">
        <f t="shared" si="65"/>
        <v>0</v>
      </c>
      <c r="E877" s="6"/>
      <c r="F877" s="6">
        <f t="shared" si="69"/>
        <v>0</v>
      </c>
      <c r="G877" s="149">
        <f>INDEX('Step 4 Stage Discharge'!E$26:F$126,MATCH(F877,'Step 4 Stage Discharge'!E$26:E$126,1),2)+(INDEX('Step 4 Stage Discharge'!E$26:F$126,MATCH(F877,'Step 4 Stage Discharge'!E$26:E$126,1)+1,2)-INDEX('Step 4 Stage Discharge'!E$26:F$126,MATCH(F877,'Step 4 Stage Discharge'!E$26:E$126,1),2))*(F877-INDEX('Step 4 Stage Discharge'!E$26:F$126,MATCH(F877,'Step 4 Stage Discharge'!E$26:E$126,1),1))/(INDEX('Step 4 Stage Discharge'!E$26:F$126,MATCH(F877,'Step 4 Stage Discharge'!E$26:E$126,1)+1,1)-INDEX('Step 4 Stage Discharge'!E$26:F$126,MATCH(F877,'Step 4 Stage Discharge'!E$26:E$126,1),1))</f>
        <v>0</v>
      </c>
      <c r="H877" s="149"/>
      <c r="I877" s="149">
        <f>INDEX('Step 4 Stage Discharge'!E$26:M$126,MATCH(F877,'Step 4 Stage Discharge'!E$26:E$126,1),9)+(INDEX('Step 4 Stage Discharge'!E$26:M$126,MATCH('Step 5 Routing'!F877,'Step 4 Stage Discharge'!E$26:E$126,1)+1,9)-INDEX('Step 4 Stage Discharge'!E$26:M$126,MATCH('Step 5 Routing'!F877,'Step 4 Stage Discharge'!E$26:E$126,1),9))*('Step 5 Routing'!F877-INDEX('Step 4 Stage Discharge'!E$26:M$126,MATCH('Step 5 Routing'!F877,'Step 4 Stage Discharge'!E$26:E$126,1),1))/(INDEX('Step 4 Stage Discharge'!E$26:M$126,MATCH('Step 5 Routing'!F877,'Step 4 Stage Discharge'!E$26:E$126,1)+1,1)-INDEX('Step 4 Stage Discharge'!E$26:M$126,MATCH('Step 5 Routing'!F877,'Step 4 Stage Discharge'!E$26:E$126,1),1))</f>
        <v>4.3639431710317386E-3</v>
      </c>
      <c r="J877" s="149"/>
      <c r="K877" s="6">
        <f t="shared" si="66"/>
        <v>0</v>
      </c>
      <c r="L877" s="6">
        <f t="shared" si="67"/>
        <v>0</v>
      </c>
    </row>
    <row r="878" spans="1:12">
      <c r="A878">
        <f t="shared" si="68"/>
        <v>865</v>
      </c>
      <c r="B878" s="136">
        <f>IF(C$5=Data!D$3,'Step 2 Inflow Hydrograph'!H922,IF(C$5=Data!D$4,'Step 2 Inflow Hydrograph'!I922,IF(C$5=Data!D$5,'Step 2 Inflow Hydrograph'!J922,'Step 2 Inflow Hydrograph'!K922)))</f>
        <v>0</v>
      </c>
      <c r="C878" s="127"/>
      <c r="D878" s="6">
        <f t="shared" si="65"/>
        <v>0</v>
      </c>
      <c r="E878" s="6"/>
      <c r="F878" s="6">
        <f t="shared" si="69"/>
        <v>0</v>
      </c>
      <c r="G878" s="149">
        <f>INDEX('Step 4 Stage Discharge'!E$26:F$126,MATCH(F878,'Step 4 Stage Discharge'!E$26:E$126,1),2)+(INDEX('Step 4 Stage Discharge'!E$26:F$126,MATCH(F878,'Step 4 Stage Discharge'!E$26:E$126,1)+1,2)-INDEX('Step 4 Stage Discharge'!E$26:F$126,MATCH(F878,'Step 4 Stage Discharge'!E$26:E$126,1),2))*(F878-INDEX('Step 4 Stage Discharge'!E$26:F$126,MATCH(F878,'Step 4 Stage Discharge'!E$26:E$126,1),1))/(INDEX('Step 4 Stage Discharge'!E$26:F$126,MATCH(F878,'Step 4 Stage Discharge'!E$26:E$126,1)+1,1)-INDEX('Step 4 Stage Discharge'!E$26:F$126,MATCH(F878,'Step 4 Stage Discharge'!E$26:E$126,1),1))</f>
        <v>0</v>
      </c>
      <c r="H878" s="149"/>
      <c r="I878" s="149">
        <f>INDEX('Step 4 Stage Discharge'!E$26:M$126,MATCH(F878,'Step 4 Stage Discharge'!E$26:E$126,1),9)+(INDEX('Step 4 Stage Discharge'!E$26:M$126,MATCH('Step 5 Routing'!F878,'Step 4 Stage Discharge'!E$26:E$126,1)+1,9)-INDEX('Step 4 Stage Discharge'!E$26:M$126,MATCH('Step 5 Routing'!F878,'Step 4 Stage Discharge'!E$26:E$126,1),9))*('Step 5 Routing'!F878-INDEX('Step 4 Stage Discharge'!E$26:M$126,MATCH('Step 5 Routing'!F878,'Step 4 Stage Discharge'!E$26:E$126,1),1))/(INDEX('Step 4 Stage Discharge'!E$26:M$126,MATCH('Step 5 Routing'!F878,'Step 4 Stage Discharge'!E$26:E$126,1)+1,1)-INDEX('Step 4 Stage Discharge'!E$26:M$126,MATCH('Step 5 Routing'!F878,'Step 4 Stage Discharge'!E$26:E$126,1),1))</f>
        <v>4.3639431710317386E-3</v>
      </c>
      <c r="J878" s="149"/>
      <c r="K878" s="6">
        <f t="shared" si="66"/>
        <v>0</v>
      </c>
      <c r="L878" s="6">
        <f t="shared" si="67"/>
        <v>0</v>
      </c>
    </row>
    <row r="879" spans="1:12">
      <c r="A879">
        <f t="shared" si="68"/>
        <v>866</v>
      </c>
      <c r="B879" s="136">
        <f>IF(C$5=Data!D$3,'Step 2 Inflow Hydrograph'!H923,IF(C$5=Data!D$4,'Step 2 Inflow Hydrograph'!I923,IF(C$5=Data!D$5,'Step 2 Inflow Hydrograph'!J923,'Step 2 Inflow Hydrograph'!K923)))</f>
        <v>0</v>
      </c>
      <c r="C879" s="127"/>
      <c r="D879" s="6">
        <f t="shared" si="65"/>
        <v>0</v>
      </c>
      <c r="E879" s="6"/>
      <c r="F879" s="6">
        <f t="shared" si="69"/>
        <v>0</v>
      </c>
      <c r="G879" s="149">
        <f>INDEX('Step 4 Stage Discharge'!E$26:F$126,MATCH(F879,'Step 4 Stage Discharge'!E$26:E$126,1),2)+(INDEX('Step 4 Stage Discharge'!E$26:F$126,MATCH(F879,'Step 4 Stage Discharge'!E$26:E$126,1)+1,2)-INDEX('Step 4 Stage Discharge'!E$26:F$126,MATCH(F879,'Step 4 Stage Discharge'!E$26:E$126,1),2))*(F879-INDEX('Step 4 Stage Discharge'!E$26:F$126,MATCH(F879,'Step 4 Stage Discharge'!E$26:E$126,1),1))/(INDEX('Step 4 Stage Discharge'!E$26:F$126,MATCH(F879,'Step 4 Stage Discharge'!E$26:E$126,1)+1,1)-INDEX('Step 4 Stage Discharge'!E$26:F$126,MATCH(F879,'Step 4 Stage Discharge'!E$26:E$126,1),1))</f>
        <v>0</v>
      </c>
      <c r="H879" s="149"/>
      <c r="I879" s="149">
        <f>INDEX('Step 4 Stage Discharge'!E$26:M$126,MATCH(F879,'Step 4 Stage Discharge'!E$26:E$126,1),9)+(INDEX('Step 4 Stage Discharge'!E$26:M$126,MATCH('Step 5 Routing'!F879,'Step 4 Stage Discharge'!E$26:E$126,1)+1,9)-INDEX('Step 4 Stage Discharge'!E$26:M$126,MATCH('Step 5 Routing'!F879,'Step 4 Stage Discharge'!E$26:E$126,1),9))*('Step 5 Routing'!F879-INDEX('Step 4 Stage Discharge'!E$26:M$126,MATCH('Step 5 Routing'!F879,'Step 4 Stage Discharge'!E$26:E$126,1),1))/(INDEX('Step 4 Stage Discharge'!E$26:M$126,MATCH('Step 5 Routing'!F879,'Step 4 Stage Discharge'!E$26:E$126,1)+1,1)-INDEX('Step 4 Stage Discharge'!E$26:M$126,MATCH('Step 5 Routing'!F879,'Step 4 Stage Discharge'!E$26:E$126,1),1))</f>
        <v>4.3639431710317386E-3</v>
      </c>
      <c r="J879" s="149"/>
      <c r="K879" s="6">
        <f t="shared" si="66"/>
        <v>0</v>
      </c>
      <c r="L879" s="6">
        <f t="shared" si="67"/>
        <v>0</v>
      </c>
    </row>
    <row r="880" spans="1:12">
      <c r="A880">
        <f t="shared" si="68"/>
        <v>867</v>
      </c>
      <c r="B880" s="136">
        <f>IF(C$5=Data!D$3,'Step 2 Inflow Hydrograph'!H924,IF(C$5=Data!D$4,'Step 2 Inflow Hydrograph'!I924,IF(C$5=Data!D$5,'Step 2 Inflow Hydrograph'!J924,'Step 2 Inflow Hydrograph'!K924)))</f>
        <v>0</v>
      </c>
      <c r="C880" s="127"/>
      <c r="D880" s="6">
        <f t="shared" si="65"/>
        <v>0</v>
      </c>
      <c r="E880" s="6"/>
      <c r="F880" s="6">
        <f t="shared" si="69"/>
        <v>0</v>
      </c>
      <c r="G880" s="149">
        <f>INDEX('Step 4 Stage Discharge'!E$26:F$126,MATCH(F880,'Step 4 Stage Discharge'!E$26:E$126,1),2)+(INDEX('Step 4 Stage Discharge'!E$26:F$126,MATCH(F880,'Step 4 Stage Discharge'!E$26:E$126,1)+1,2)-INDEX('Step 4 Stage Discharge'!E$26:F$126,MATCH(F880,'Step 4 Stage Discharge'!E$26:E$126,1),2))*(F880-INDEX('Step 4 Stage Discharge'!E$26:F$126,MATCH(F880,'Step 4 Stage Discharge'!E$26:E$126,1),1))/(INDEX('Step 4 Stage Discharge'!E$26:F$126,MATCH(F880,'Step 4 Stage Discharge'!E$26:E$126,1)+1,1)-INDEX('Step 4 Stage Discharge'!E$26:F$126,MATCH(F880,'Step 4 Stage Discharge'!E$26:E$126,1),1))</f>
        <v>0</v>
      </c>
      <c r="H880" s="149"/>
      <c r="I880" s="149">
        <f>INDEX('Step 4 Stage Discharge'!E$26:M$126,MATCH(F880,'Step 4 Stage Discharge'!E$26:E$126,1),9)+(INDEX('Step 4 Stage Discharge'!E$26:M$126,MATCH('Step 5 Routing'!F880,'Step 4 Stage Discharge'!E$26:E$126,1)+1,9)-INDEX('Step 4 Stage Discharge'!E$26:M$126,MATCH('Step 5 Routing'!F880,'Step 4 Stage Discharge'!E$26:E$126,1),9))*('Step 5 Routing'!F880-INDEX('Step 4 Stage Discharge'!E$26:M$126,MATCH('Step 5 Routing'!F880,'Step 4 Stage Discharge'!E$26:E$126,1),1))/(INDEX('Step 4 Stage Discharge'!E$26:M$126,MATCH('Step 5 Routing'!F880,'Step 4 Stage Discharge'!E$26:E$126,1)+1,1)-INDEX('Step 4 Stage Discharge'!E$26:M$126,MATCH('Step 5 Routing'!F880,'Step 4 Stage Discharge'!E$26:E$126,1),1))</f>
        <v>4.3639431710317386E-3</v>
      </c>
      <c r="J880" s="149"/>
      <c r="K880" s="6">
        <f t="shared" si="66"/>
        <v>0</v>
      </c>
      <c r="L880" s="6">
        <f t="shared" si="67"/>
        <v>0</v>
      </c>
    </row>
    <row r="881" spans="1:12">
      <c r="A881">
        <f t="shared" si="68"/>
        <v>868</v>
      </c>
      <c r="B881" s="136">
        <f>IF(C$5=Data!D$3,'Step 2 Inflow Hydrograph'!H925,IF(C$5=Data!D$4,'Step 2 Inflow Hydrograph'!I925,IF(C$5=Data!D$5,'Step 2 Inflow Hydrograph'!J925,'Step 2 Inflow Hydrograph'!K925)))</f>
        <v>0</v>
      </c>
      <c r="C881" s="127"/>
      <c r="D881" s="6">
        <f t="shared" si="65"/>
        <v>0</v>
      </c>
      <c r="E881" s="6"/>
      <c r="F881" s="6">
        <f t="shared" si="69"/>
        <v>0</v>
      </c>
      <c r="G881" s="149">
        <f>INDEX('Step 4 Stage Discharge'!E$26:F$126,MATCH(F881,'Step 4 Stage Discharge'!E$26:E$126,1),2)+(INDEX('Step 4 Stage Discharge'!E$26:F$126,MATCH(F881,'Step 4 Stage Discharge'!E$26:E$126,1)+1,2)-INDEX('Step 4 Stage Discharge'!E$26:F$126,MATCH(F881,'Step 4 Stage Discharge'!E$26:E$126,1),2))*(F881-INDEX('Step 4 Stage Discharge'!E$26:F$126,MATCH(F881,'Step 4 Stage Discharge'!E$26:E$126,1),1))/(INDEX('Step 4 Stage Discharge'!E$26:F$126,MATCH(F881,'Step 4 Stage Discharge'!E$26:E$126,1)+1,1)-INDEX('Step 4 Stage Discharge'!E$26:F$126,MATCH(F881,'Step 4 Stage Discharge'!E$26:E$126,1),1))</f>
        <v>0</v>
      </c>
      <c r="H881" s="149"/>
      <c r="I881" s="149">
        <f>INDEX('Step 4 Stage Discharge'!E$26:M$126,MATCH(F881,'Step 4 Stage Discharge'!E$26:E$126,1),9)+(INDEX('Step 4 Stage Discharge'!E$26:M$126,MATCH('Step 5 Routing'!F881,'Step 4 Stage Discharge'!E$26:E$126,1)+1,9)-INDEX('Step 4 Stage Discharge'!E$26:M$126,MATCH('Step 5 Routing'!F881,'Step 4 Stage Discharge'!E$26:E$126,1),9))*('Step 5 Routing'!F881-INDEX('Step 4 Stage Discharge'!E$26:M$126,MATCH('Step 5 Routing'!F881,'Step 4 Stage Discharge'!E$26:E$126,1),1))/(INDEX('Step 4 Stage Discharge'!E$26:M$126,MATCH('Step 5 Routing'!F881,'Step 4 Stage Discharge'!E$26:E$126,1)+1,1)-INDEX('Step 4 Stage Discharge'!E$26:M$126,MATCH('Step 5 Routing'!F881,'Step 4 Stage Discharge'!E$26:E$126,1),1))</f>
        <v>4.3639431710317386E-3</v>
      </c>
      <c r="J881" s="149"/>
      <c r="K881" s="6">
        <f t="shared" si="66"/>
        <v>0</v>
      </c>
      <c r="L881" s="6">
        <f t="shared" si="67"/>
        <v>0</v>
      </c>
    </row>
    <row r="882" spans="1:12">
      <c r="A882">
        <f t="shared" si="68"/>
        <v>869</v>
      </c>
      <c r="B882" s="136">
        <f>IF(C$5=Data!D$3,'Step 2 Inflow Hydrograph'!H926,IF(C$5=Data!D$4,'Step 2 Inflow Hydrograph'!I926,IF(C$5=Data!D$5,'Step 2 Inflow Hydrograph'!J926,'Step 2 Inflow Hydrograph'!K926)))</f>
        <v>0</v>
      </c>
      <c r="C882" s="127"/>
      <c r="D882" s="6">
        <f t="shared" si="65"/>
        <v>0</v>
      </c>
      <c r="E882" s="6"/>
      <c r="F882" s="6">
        <f t="shared" si="69"/>
        <v>0</v>
      </c>
      <c r="G882" s="149">
        <f>INDEX('Step 4 Stage Discharge'!E$26:F$126,MATCH(F882,'Step 4 Stage Discharge'!E$26:E$126,1),2)+(INDEX('Step 4 Stage Discharge'!E$26:F$126,MATCH(F882,'Step 4 Stage Discharge'!E$26:E$126,1)+1,2)-INDEX('Step 4 Stage Discharge'!E$26:F$126,MATCH(F882,'Step 4 Stage Discharge'!E$26:E$126,1),2))*(F882-INDEX('Step 4 Stage Discharge'!E$26:F$126,MATCH(F882,'Step 4 Stage Discharge'!E$26:E$126,1),1))/(INDEX('Step 4 Stage Discharge'!E$26:F$126,MATCH(F882,'Step 4 Stage Discharge'!E$26:E$126,1)+1,1)-INDEX('Step 4 Stage Discharge'!E$26:F$126,MATCH(F882,'Step 4 Stage Discharge'!E$26:E$126,1),1))</f>
        <v>0</v>
      </c>
      <c r="H882" s="149"/>
      <c r="I882" s="149">
        <f>INDEX('Step 4 Stage Discharge'!E$26:M$126,MATCH(F882,'Step 4 Stage Discharge'!E$26:E$126,1),9)+(INDEX('Step 4 Stage Discharge'!E$26:M$126,MATCH('Step 5 Routing'!F882,'Step 4 Stage Discharge'!E$26:E$126,1)+1,9)-INDEX('Step 4 Stage Discharge'!E$26:M$126,MATCH('Step 5 Routing'!F882,'Step 4 Stage Discharge'!E$26:E$126,1),9))*('Step 5 Routing'!F882-INDEX('Step 4 Stage Discharge'!E$26:M$126,MATCH('Step 5 Routing'!F882,'Step 4 Stage Discharge'!E$26:E$126,1),1))/(INDEX('Step 4 Stage Discharge'!E$26:M$126,MATCH('Step 5 Routing'!F882,'Step 4 Stage Discharge'!E$26:E$126,1)+1,1)-INDEX('Step 4 Stage Discharge'!E$26:M$126,MATCH('Step 5 Routing'!F882,'Step 4 Stage Discharge'!E$26:E$126,1),1))</f>
        <v>4.3639431710317386E-3</v>
      </c>
      <c r="J882" s="149"/>
      <c r="K882" s="6">
        <f t="shared" si="66"/>
        <v>0</v>
      </c>
      <c r="L882" s="6">
        <f t="shared" si="67"/>
        <v>0</v>
      </c>
    </row>
    <row r="883" spans="1:12">
      <c r="A883">
        <f t="shared" si="68"/>
        <v>870</v>
      </c>
      <c r="B883" s="136">
        <f>IF(C$5=Data!D$3,'Step 2 Inflow Hydrograph'!H927,IF(C$5=Data!D$4,'Step 2 Inflow Hydrograph'!I927,IF(C$5=Data!D$5,'Step 2 Inflow Hydrograph'!J927,'Step 2 Inflow Hydrograph'!K927)))</f>
        <v>0</v>
      </c>
      <c r="C883" s="127"/>
      <c r="D883" s="6">
        <f t="shared" si="65"/>
        <v>0</v>
      </c>
      <c r="E883" s="6"/>
      <c r="F883" s="6">
        <f t="shared" si="69"/>
        <v>0</v>
      </c>
      <c r="G883" s="149">
        <f>INDEX('Step 4 Stage Discharge'!E$26:F$126,MATCH(F883,'Step 4 Stage Discharge'!E$26:E$126,1),2)+(INDEX('Step 4 Stage Discharge'!E$26:F$126,MATCH(F883,'Step 4 Stage Discharge'!E$26:E$126,1)+1,2)-INDEX('Step 4 Stage Discharge'!E$26:F$126,MATCH(F883,'Step 4 Stage Discharge'!E$26:E$126,1),2))*(F883-INDEX('Step 4 Stage Discharge'!E$26:F$126,MATCH(F883,'Step 4 Stage Discharge'!E$26:E$126,1),1))/(INDEX('Step 4 Stage Discharge'!E$26:F$126,MATCH(F883,'Step 4 Stage Discharge'!E$26:E$126,1)+1,1)-INDEX('Step 4 Stage Discharge'!E$26:F$126,MATCH(F883,'Step 4 Stage Discharge'!E$26:E$126,1),1))</f>
        <v>0</v>
      </c>
      <c r="H883" s="149"/>
      <c r="I883" s="149">
        <f>INDEX('Step 4 Stage Discharge'!E$26:M$126,MATCH(F883,'Step 4 Stage Discharge'!E$26:E$126,1),9)+(INDEX('Step 4 Stage Discharge'!E$26:M$126,MATCH('Step 5 Routing'!F883,'Step 4 Stage Discharge'!E$26:E$126,1)+1,9)-INDEX('Step 4 Stage Discharge'!E$26:M$126,MATCH('Step 5 Routing'!F883,'Step 4 Stage Discharge'!E$26:E$126,1),9))*('Step 5 Routing'!F883-INDEX('Step 4 Stage Discharge'!E$26:M$126,MATCH('Step 5 Routing'!F883,'Step 4 Stage Discharge'!E$26:E$126,1),1))/(INDEX('Step 4 Stage Discharge'!E$26:M$126,MATCH('Step 5 Routing'!F883,'Step 4 Stage Discharge'!E$26:E$126,1)+1,1)-INDEX('Step 4 Stage Discharge'!E$26:M$126,MATCH('Step 5 Routing'!F883,'Step 4 Stage Discharge'!E$26:E$126,1),1))</f>
        <v>4.3639431710317386E-3</v>
      </c>
      <c r="J883" s="149"/>
      <c r="K883" s="6">
        <f t="shared" si="66"/>
        <v>0</v>
      </c>
      <c r="L883" s="6">
        <f t="shared" si="67"/>
        <v>0</v>
      </c>
    </row>
    <row r="884" spans="1:12">
      <c r="A884">
        <f t="shared" si="68"/>
        <v>871</v>
      </c>
      <c r="B884" s="136">
        <f>IF(C$5=Data!D$3,'Step 2 Inflow Hydrograph'!H928,IF(C$5=Data!D$4,'Step 2 Inflow Hydrograph'!I928,IF(C$5=Data!D$5,'Step 2 Inflow Hydrograph'!J928,'Step 2 Inflow Hydrograph'!K928)))</f>
        <v>0</v>
      </c>
      <c r="C884" s="127"/>
      <c r="D884" s="6">
        <f t="shared" si="65"/>
        <v>0</v>
      </c>
      <c r="E884" s="6"/>
      <c r="F884" s="6">
        <f t="shared" si="69"/>
        <v>0</v>
      </c>
      <c r="G884" s="149">
        <f>INDEX('Step 4 Stage Discharge'!E$26:F$126,MATCH(F884,'Step 4 Stage Discharge'!E$26:E$126,1),2)+(INDEX('Step 4 Stage Discharge'!E$26:F$126,MATCH(F884,'Step 4 Stage Discharge'!E$26:E$126,1)+1,2)-INDEX('Step 4 Stage Discharge'!E$26:F$126,MATCH(F884,'Step 4 Stage Discharge'!E$26:E$126,1),2))*(F884-INDEX('Step 4 Stage Discharge'!E$26:F$126,MATCH(F884,'Step 4 Stage Discharge'!E$26:E$126,1),1))/(INDEX('Step 4 Stage Discharge'!E$26:F$126,MATCH(F884,'Step 4 Stage Discharge'!E$26:E$126,1)+1,1)-INDEX('Step 4 Stage Discharge'!E$26:F$126,MATCH(F884,'Step 4 Stage Discharge'!E$26:E$126,1),1))</f>
        <v>0</v>
      </c>
      <c r="H884" s="149"/>
      <c r="I884" s="149">
        <f>INDEX('Step 4 Stage Discharge'!E$26:M$126,MATCH(F884,'Step 4 Stage Discharge'!E$26:E$126,1),9)+(INDEX('Step 4 Stage Discharge'!E$26:M$126,MATCH('Step 5 Routing'!F884,'Step 4 Stage Discharge'!E$26:E$126,1)+1,9)-INDEX('Step 4 Stage Discharge'!E$26:M$126,MATCH('Step 5 Routing'!F884,'Step 4 Stage Discharge'!E$26:E$126,1),9))*('Step 5 Routing'!F884-INDEX('Step 4 Stage Discharge'!E$26:M$126,MATCH('Step 5 Routing'!F884,'Step 4 Stage Discharge'!E$26:E$126,1),1))/(INDEX('Step 4 Stage Discharge'!E$26:M$126,MATCH('Step 5 Routing'!F884,'Step 4 Stage Discharge'!E$26:E$126,1)+1,1)-INDEX('Step 4 Stage Discharge'!E$26:M$126,MATCH('Step 5 Routing'!F884,'Step 4 Stage Discharge'!E$26:E$126,1),1))</f>
        <v>4.3639431710317386E-3</v>
      </c>
      <c r="J884" s="149"/>
      <c r="K884" s="6">
        <f t="shared" si="66"/>
        <v>0</v>
      </c>
      <c r="L884" s="6">
        <f t="shared" si="67"/>
        <v>0</v>
      </c>
    </row>
    <row r="885" spans="1:12">
      <c r="A885">
        <f t="shared" si="68"/>
        <v>872</v>
      </c>
      <c r="B885" s="136">
        <f>IF(C$5=Data!D$3,'Step 2 Inflow Hydrograph'!H929,IF(C$5=Data!D$4,'Step 2 Inflow Hydrograph'!I929,IF(C$5=Data!D$5,'Step 2 Inflow Hydrograph'!J929,'Step 2 Inflow Hydrograph'!K929)))</f>
        <v>0</v>
      </c>
      <c r="C885" s="127"/>
      <c r="D885" s="6">
        <f t="shared" si="65"/>
        <v>0</v>
      </c>
      <c r="E885" s="6"/>
      <c r="F885" s="6">
        <f t="shared" si="69"/>
        <v>0</v>
      </c>
      <c r="G885" s="149">
        <f>INDEX('Step 4 Stage Discharge'!E$26:F$126,MATCH(F885,'Step 4 Stage Discharge'!E$26:E$126,1),2)+(INDEX('Step 4 Stage Discharge'!E$26:F$126,MATCH(F885,'Step 4 Stage Discharge'!E$26:E$126,1)+1,2)-INDEX('Step 4 Stage Discharge'!E$26:F$126,MATCH(F885,'Step 4 Stage Discharge'!E$26:E$126,1),2))*(F885-INDEX('Step 4 Stage Discharge'!E$26:F$126,MATCH(F885,'Step 4 Stage Discharge'!E$26:E$126,1),1))/(INDEX('Step 4 Stage Discharge'!E$26:F$126,MATCH(F885,'Step 4 Stage Discharge'!E$26:E$126,1)+1,1)-INDEX('Step 4 Stage Discharge'!E$26:F$126,MATCH(F885,'Step 4 Stage Discharge'!E$26:E$126,1),1))</f>
        <v>0</v>
      </c>
      <c r="H885" s="149"/>
      <c r="I885" s="149">
        <f>INDEX('Step 4 Stage Discharge'!E$26:M$126,MATCH(F885,'Step 4 Stage Discharge'!E$26:E$126,1),9)+(INDEX('Step 4 Stage Discharge'!E$26:M$126,MATCH('Step 5 Routing'!F885,'Step 4 Stage Discharge'!E$26:E$126,1)+1,9)-INDEX('Step 4 Stage Discharge'!E$26:M$126,MATCH('Step 5 Routing'!F885,'Step 4 Stage Discharge'!E$26:E$126,1),9))*('Step 5 Routing'!F885-INDEX('Step 4 Stage Discharge'!E$26:M$126,MATCH('Step 5 Routing'!F885,'Step 4 Stage Discharge'!E$26:E$126,1),1))/(INDEX('Step 4 Stage Discharge'!E$26:M$126,MATCH('Step 5 Routing'!F885,'Step 4 Stage Discharge'!E$26:E$126,1)+1,1)-INDEX('Step 4 Stage Discharge'!E$26:M$126,MATCH('Step 5 Routing'!F885,'Step 4 Stage Discharge'!E$26:E$126,1),1))</f>
        <v>4.3639431710317386E-3</v>
      </c>
      <c r="J885" s="149"/>
      <c r="K885" s="6">
        <f t="shared" si="66"/>
        <v>0</v>
      </c>
      <c r="L885" s="6">
        <f t="shared" si="67"/>
        <v>0</v>
      </c>
    </row>
    <row r="886" spans="1:12">
      <c r="A886">
        <f t="shared" si="68"/>
        <v>873</v>
      </c>
      <c r="B886" s="136">
        <f>IF(C$5=Data!D$3,'Step 2 Inflow Hydrograph'!H930,IF(C$5=Data!D$4,'Step 2 Inflow Hydrograph'!I930,IF(C$5=Data!D$5,'Step 2 Inflow Hydrograph'!J930,'Step 2 Inflow Hydrograph'!K930)))</f>
        <v>0</v>
      </c>
      <c r="C886" s="127"/>
      <c r="D886" s="6">
        <f t="shared" si="65"/>
        <v>0</v>
      </c>
      <c r="E886" s="6"/>
      <c r="F886" s="6">
        <f t="shared" si="69"/>
        <v>0</v>
      </c>
      <c r="G886" s="149">
        <f>INDEX('Step 4 Stage Discharge'!E$26:F$126,MATCH(F886,'Step 4 Stage Discharge'!E$26:E$126,1),2)+(INDEX('Step 4 Stage Discharge'!E$26:F$126,MATCH(F886,'Step 4 Stage Discharge'!E$26:E$126,1)+1,2)-INDEX('Step 4 Stage Discharge'!E$26:F$126,MATCH(F886,'Step 4 Stage Discharge'!E$26:E$126,1),2))*(F886-INDEX('Step 4 Stage Discharge'!E$26:F$126,MATCH(F886,'Step 4 Stage Discharge'!E$26:E$126,1),1))/(INDEX('Step 4 Stage Discharge'!E$26:F$126,MATCH(F886,'Step 4 Stage Discharge'!E$26:E$126,1)+1,1)-INDEX('Step 4 Stage Discharge'!E$26:F$126,MATCH(F886,'Step 4 Stage Discharge'!E$26:E$126,1),1))</f>
        <v>0</v>
      </c>
      <c r="H886" s="149"/>
      <c r="I886" s="149">
        <f>INDEX('Step 4 Stage Discharge'!E$26:M$126,MATCH(F886,'Step 4 Stage Discharge'!E$26:E$126,1),9)+(INDEX('Step 4 Stage Discharge'!E$26:M$126,MATCH('Step 5 Routing'!F886,'Step 4 Stage Discharge'!E$26:E$126,1)+1,9)-INDEX('Step 4 Stage Discharge'!E$26:M$126,MATCH('Step 5 Routing'!F886,'Step 4 Stage Discharge'!E$26:E$126,1),9))*('Step 5 Routing'!F886-INDEX('Step 4 Stage Discharge'!E$26:M$126,MATCH('Step 5 Routing'!F886,'Step 4 Stage Discharge'!E$26:E$126,1),1))/(INDEX('Step 4 Stage Discharge'!E$26:M$126,MATCH('Step 5 Routing'!F886,'Step 4 Stage Discharge'!E$26:E$126,1)+1,1)-INDEX('Step 4 Stage Discharge'!E$26:M$126,MATCH('Step 5 Routing'!F886,'Step 4 Stage Discharge'!E$26:E$126,1),1))</f>
        <v>4.3639431710317386E-3</v>
      </c>
      <c r="J886" s="149"/>
      <c r="K886" s="6">
        <f t="shared" si="66"/>
        <v>0</v>
      </c>
      <c r="L886" s="6">
        <f t="shared" si="67"/>
        <v>0</v>
      </c>
    </row>
    <row r="887" spans="1:12">
      <c r="A887">
        <f t="shared" si="68"/>
        <v>874</v>
      </c>
      <c r="B887" s="136">
        <f>IF(C$5=Data!D$3,'Step 2 Inflow Hydrograph'!H931,IF(C$5=Data!D$4,'Step 2 Inflow Hydrograph'!I931,IF(C$5=Data!D$5,'Step 2 Inflow Hydrograph'!J931,'Step 2 Inflow Hydrograph'!K931)))</f>
        <v>0</v>
      </c>
      <c r="C887" s="127"/>
      <c r="D887" s="6">
        <f t="shared" si="65"/>
        <v>0</v>
      </c>
      <c r="E887" s="6"/>
      <c r="F887" s="6">
        <f t="shared" si="69"/>
        <v>0</v>
      </c>
      <c r="G887" s="149">
        <f>INDEX('Step 4 Stage Discharge'!E$26:F$126,MATCH(F887,'Step 4 Stage Discharge'!E$26:E$126,1),2)+(INDEX('Step 4 Stage Discharge'!E$26:F$126,MATCH(F887,'Step 4 Stage Discharge'!E$26:E$126,1)+1,2)-INDEX('Step 4 Stage Discharge'!E$26:F$126,MATCH(F887,'Step 4 Stage Discharge'!E$26:E$126,1),2))*(F887-INDEX('Step 4 Stage Discharge'!E$26:F$126,MATCH(F887,'Step 4 Stage Discharge'!E$26:E$126,1),1))/(INDEX('Step 4 Stage Discharge'!E$26:F$126,MATCH(F887,'Step 4 Stage Discharge'!E$26:E$126,1)+1,1)-INDEX('Step 4 Stage Discharge'!E$26:F$126,MATCH(F887,'Step 4 Stage Discharge'!E$26:E$126,1),1))</f>
        <v>0</v>
      </c>
      <c r="H887" s="149"/>
      <c r="I887" s="149">
        <f>INDEX('Step 4 Stage Discharge'!E$26:M$126,MATCH(F887,'Step 4 Stage Discharge'!E$26:E$126,1),9)+(INDEX('Step 4 Stage Discharge'!E$26:M$126,MATCH('Step 5 Routing'!F887,'Step 4 Stage Discharge'!E$26:E$126,1)+1,9)-INDEX('Step 4 Stage Discharge'!E$26:M$126,MATCH('Step 5 Routing'!F887,'Step 4 Stage Discharge'!E$26:E$126,1),9))*('Step 5 Routing'!F887-INDEX('Step 4 Stage Discharge'!E$26:M$126,MATCH('Step 5 Routing'!F887,'Step 4 Stage Discharge'!E$26:E$126,1),1))/(INDEX('Step 4 Stage Discharge'!E$26:M$126,MATCH('Step 5 Routing'!F887,'Step 4 Stage Discharge'!E$26:E$126,1)+1,1)-INDEX('Step 4 Stage Discharge'!E$26:M$126,MATCH('Step 5 Routing'!F887,'Step 4 Stage Discharge'!E$26:E$126,1),1))</f>
        <v>4.3639431710317386E-3</v>
      </c>
      <c r="J887" s="149"/>
      <c r="K887" s="6">
        <f t="shared" si="66"/>
        <v>0</v>
      </c>
      <c r="L887" s="6">
        <f t="shared" si="67"/>
        <v>0</v>
      </c>
    </row>
    <row r="888" spans="1:12">
      <c r="A888">
        <f t="shared" si="68"/>
        <v>875</v>
      </c>
      <c r="B888" s="136">
        <f>IF(C$5=Data!D$3,'Step 2 Inflow Hydrograph'!H932,IF(C$5=Data!D$4,'Step 2 Inflow Hydrograph'!I932,IF(C$5=Data!D$5,'Step 2 Inflow Hydrograph'!J932,'Step 2 Inflow Hydrograph'!K932)))</f>
        <v>0</v>
      </c>
      <c r="C888" s="127"/>
      <c r="D888" s="6">
        <f t="shared" si="65"/>
        <v>0</v>
      </c>
      <c r="E888" s="6"/>
      <c r="F888" s="6">
        <f t="shared" si="69"/>
        <v>0</v>
      </c>
      <c r="G888" s="149">
        <f>INDEX('Step 4 Stage Discharge'!E$26:F$126,MATCH(F888,'Step 4 Stage Discharge'!E$26:E$126,1),2)+(INDEX('Step 4 Stage Discharge'!E$26:F$126,MATCH(F888,'Step 4 Stage Discharge'!E$26:E$126,1)+1,2)-INDEX('Step 4 Stage Discharge'!E$26:F$126,MATCH(F888,'Step 4 Stage Discharge'!E$26:E$126,1),2))*(F888-INDEX('Step 4 Stage Discharge'!E$26:F$126,MATCH(F888,'Step 4 Stage Discharge'!E$26:E$126,1),1))/(INDEX('Step 4 Stage Discharge'!E$26:F$126,MATCH(F888,'Step 4 Stage Discharge'!E$26:E$126,1)+1,1)-INDEX('Step 4 Stage Discharge'!E$26:F$126,MATCH(F888,'Step 4 Stage Discharge'!E$26:E$126,1),1))</f>
        <v>0</v>
      </c>
      <c r="H888" s="149"/>
      <c r="I888" s="149">
        <f>INDEX('Step 4 Stage Discharge'!E$26:M$126,MATCH(F888,'Step 4 Stage Discharge'!E$26:E$126,1),9)+(INDEX('Step 4 Stage Discharge'!E$26:M$126,MATCH('Step 5 Routing'!F888,'Step 4 Stage Discharge'!E$26:E$126,1)+1,9)-INDEX('Step 4 Stage Discharge'!E$26:M$126,MATCH('Step 5 Routing'!F888,'Step 4 Stage Discharge'!E$26:E$126,1),9))*('Step 5 Routing'!F888-INDEX('Step 4 Stage Discharge'!E$26:M$126,MATCH('Step 5 Routing'!F888,'Step 4 Stage Discharge'!E$26:E$126,1),1))/(INDEX('Step 4 Stage Discharge'!E$26:M$126,MATCH('Step 5 Routing'!F888,'Step 4 Stage Discharge'!E$26:E$126,1)+1,1)-INDEX('Step 4 Stage Discharge'!E$26:M$126,MATCH('Step 5 Routing'!F888,'Step 4 Stage Discharge'!E$26:E$126,1),1))</f>
        <v>4.3639431710317386E-3</v>
      </c>
      <c r="J888" s="149"/>
      <c r="K888" s="6">
        <f t="shared" si="66"/>
        <v>0</v>
      </c>
      <c r="L888" s="6">
        <f t="shared" si="67"/>
        <v>0</v>
      </c>
    </row>
    <row r="889" spans="1:12">
      <c r="A889">
        <f t="shared" si="68"/>
        <v>876</v>
      </c>
      <c r="B889" s="136">
        <f>IF(C$5=Data!D$3,'Step 2 Inflow Hydrograph'!H933,IF(C$5=Data!D$4,'Step 2 Inflow Hydrograph'!I933,IF(C$5=Data!D$5,'Step 2 Inflow Hydrograph'!J933,'Step 2 Inflow Hydrograph'!K933)))</f>
        <v>0</v>
      </c>
      <c r="C889" s="127"/>
      <c r="D889" s="6">
        <f t="shared" si="65"/>
        <v>0</v>
      </c>
      <c r="E889" s="6"/>
      <c r="F889" s="6">
        <f t="shared" si="69"/>
        <v>0</v>
      </c>
      <c r="G889" s="149">
        <f>INDEX('Step 4 Stage Discharge'!E$26:F$126,MATCH(F889,'Step 4 Stage Discharge'!E$26:E$126,1),2)+(INDEX('Step 4 Stage Discharge'!E$26:F$126,MATCH(F889,'Step 4 Stage Discharge'!E$26:E$126,1)+1,2)-INDEX('Step 4 Stage Discharge'!E$26:F$126,MATCH(F889,'Step 4 Stage Discharge'!E$26:E$126,1),2))*(F889-INDEX('Step 4 Stage Discharge'!E$26:F$126,MATCH(F889,'Step 4 Stage Discharge'!E$26:E$126,1),1))/(INDEX('Step 4 Stage Discharge'!E$26:F$126,MATCH(F889,'Step 4 Stage Discharge'!E$26:E$126,1)+1,1)-INDEX('Step 4 Stage Discharge'!E$26:F$126,MATCH(F889,'Step 4 Stage Discharge'!E$26:E$126,1),1))</f>
        <v>0</v>
      </c>
      <c r="H889" s="149"/>
      <c r="I889" s="149">
        <f>INDEX('Step 4 Stage Discharge'!E$26:M$126,MATCH(F889,'Step 4 Stage Discharge'!E$26:E$126,1),9)+(INDEX('Step 4 Stage Discharge'!E$26:M$126,MATCH('Step 5 Routing'!F889,'Step 4 Stage Discharge'!E$26:E$126,1)+1,9)-INDEX('Step 4 Stage Discharge'!E$26:M$126,MATCH('Step 5 Routing'!F889,'Step 4 Stage Discharge'!E$26:E$126,1),9))*('Step 5 Routing'!F889-INDEX('Step 4 Stage Discharge'!E$26:M$126,MATCH('Step 5 Routing'!F889,'Step 4 Stage Discharge'!E$26:E$126,1),1))/(INDEX('Step 4 Stage Discharge'!E$26:M$126,MATCH('Step 5 Routing'!F889,'Step 4 Stage Discharge'!E$26:E$126,1)+1,1)-INDEX('Step 4 Stage Discharge'!E$26:M$126,MATCH('Step 5 Routing'!F889,'Step 4 Stage Discharge'!E$26:E$126,1),1))</f>
        <v>4.3639431710317386E-3</v>
      </c>
      <c r="J889" s="149"/>
      <c r="K889" s="6">
        <f t="shared" si="66"/>
        <v>0</v>
      </c>
      <c r="L889" s="6">
        <f t="shared" si="67"/>
        <v>0</v>
      </c>
    </row>
    <row r="890" spans="1:12">
      <c r="A890">
        <f t="shared" si="68"/>
        <v>877</v>
      </c>
      <c r="B890" s="136">
        <f>IF(C$5=Data!D$3,'Step 2 Inflow Hydrograph'!H934,IF(C$5=Data!D$4,'Step 2 Inflow Hydrograph'!I934,IF(C$5=Data!D$5,'Step 2 Inflow Hydrograph'!J934,'Step 2 Inflow Hydrograph'!K934)))</f>
        <v>0</v>
      </c>
      <c r="C890" s="127"/>
      <c r="D890" s="6">
        <f t="shared" si="65"/>
        <v>0</v>
      </c>
      <c r="E890" s="6"/>
      <c r="F890" s="6">
        <f t="shared" si="69"/>
        <v>0</v>
      </c>
      <c r="G890" s="149">
        <f>INDEX('Step 4 Stage Discharge'!E$26:F$126,MATCH(F890,'Step 4 Stage Discharge'!E$26:E$126,1),2)+(INDEX('Step 4 Stage Discharge'!E$26:F$126,MATCH(F890,'Step 4 Stage Discharge'!E$26:E$126,1)+1,2)-INDEX('Step 4 Stage Discharge'!E$26:F$126,MATCH(F890,'Step 4 Stage Discharge'!E$26:E$126,1),2))*(F890-INDEX('Step 4 Stage Discharge'!E$26:F$126,MATCH(F890,'Step 4 Stage Discharge'!E$26:E$126,1),1))/(INDEX('Step 4 Stage Discharge'!E$26:F$126,MATCH(F890,'Step 4 Stage Discharge'!E$26:E$126,1)+1,1)-INDEX('Step 4 Stage Discharge'!E$26:F$126,MATCH(F890,'Step 4 Stage Discharge'!E$26:E$126,1),1))</f>
        <v>0</v>
      </c>
      <c r="H890" s="149"/>
      <c r="I890" s="149">
        <f>INDEX('Step 4 Stage Discharge'!E$26:M$126,MATCH(F890,'Step 4 Stage Discharge'!E$26:E$126,1),9)+(INDEX('Step 4 Stage Discharge'!E$26:M$126,MATCH('Step 5 Routing'!F890,'Step 4 Stage Discharge'!E$26:E$126,1)+1,9)-INDEX('Step 4 Stage Discharge'!E$26:M$126,MATCH('Step 5 Routing'!F890,'Step 4 Stage Discharge'!E$26:E$126,1),9))*('Step 5 Routing'!F890-INDEX('Step 4 Stage Discharge'!E$26:M$126,MATCH('Step 5 Routing'!F890,'Step 4 Stage Discharge'!E$26:E$126,1),1))/(INDEX('Step 4 Stage Discharge'!E$26:M$126,MATCH('Step 5 Routing'!F890,'Step 4 Stage Discharge'!E$26:E$126,1)+1,1)-INDEX('Step 4 Stage Discharge'!E$26:M$126,MATCH('Step 5 Routing'!F890,'Step 4 Stage Discharge'!E$26:E$126,1),1))</f>
        <v>4.3639431710317386E-3</v>
      </c>
      <c r="J890" s="149"/>
      <c r="K890" s="6">
        <f t="shared" si="66"/>
        <v>0</v>
      </c>
      <c r="L890" s="6">
        <f t="shared" si="67"/>
        <v>0</v>
      </c>
    </row>
    <row r="891" spans="1:12">
      <c r="A891">
        <f t="shared" si="68"/>
        <v>878</v>
      </c>
      <c r="B891" s="136">
        <f>IF(C$5=Data!D$3,'Step 2 Inflow Hydrograph'!H935,IF(C$5=Data!D$4,'Step 2 Inflow Hydrograph'!I935,IF(C$5=Data!D$5,'Step 2 Inflow Hydrograph'!J935,'Step 2 Inflow Hydrograph'!K935)))</f>
        <v>0</v>
      </c>
      <c r="C891" s="127"/>
      <c r="D891" s="6">
        <f t="shared" si="65"/>
        <v>0</v>
      </c>
      <c r="E891" s="6"/>
      <c r="F891" s="6">
        <f t="shared" si="69"/>
        <v>0</v>
      </c>
      <c r="G891" s="149">
        <f>INDEX('Step 4 Stage Discharge'!E$26:F$126,MATCH(F891,'Step 4 Stage Discharge'!E$26:E$126,1),2)+(INDEX('Step 4 Stage Discharge'!E$26:F$126,MATCH(F891,'Step 4 Stage Discharge'!E$26:E$126,1)+1,2)-INDEX('Step 4 Stage Discharge'!E$26:F$126,MATCH(F891,'Step 4 Stage Discharge'!E$26:E$126,1),2))*(F891-INDEX('Step 4 Stage Discharge'!E$26:F$126,MATCH(F891,'Step 4 Stage Discharge'!E$26:E$126,1),1))/(INDEX('Step 4 Stage Discharge'!E$26:F$126,MATCH(F891,'Step 4 Stage Discharge'!E$26:E$126,1)+1,1)-INDEX('Step 4 Stage Discharge'!E$26:F$126,MATCH(F891,'Step 4 Stage Discharge'!E$26:E$126,1),1))</f>
        <v>0</v>
      </c>
      <c r="H891" s="149"/>
      <c r="I891" s="149">
        <f>INDEX('Step 4 Stage Discharge'!E$26:M$126,MATCH(F891,'Step 4 Stage Discharge'!E$26:E$126,1),9)+(INDEX('Step 4 Stage Discharge'!E$26:M$126,MATCH('Step 5 Routing'!F891,'Step 4 Stage Discharge'!E$26:E$126,1)+1,9)-INDEX('Step 4 Stage Discharge'!E$26:M$126,MATCH('Step 5 Routing'!F891,'Step 4 Stage Discharge'!E$26:E$126,1),9))*('Step 5 Routing'!F891-INDEX('Step 4 Stage Discharge'!E$26:M$126,MATCH('Step 5 Routing'!F891,'Step 4 Stage Discharge'!E$26:E$126,1),1))/(INDEX('Step 4 Stage Discharge'!E$26:M$126,MATCH('Step 5 Routing'!F891,'Step 4 Stage Discharge'!E$26:E$126,1)+1,1)-INDEX('Step 4 Stage Discharge'!E$26:M$126,MATCH('Step 5 Routing'!F891,'Step 4 Stage Discharge'!E$26:E$126,1),1))</f>
        <v>4.3639431710317386E-3</v>
      </c>
      <c r="J891" s="149"/>
      <c r="K891" s="6">
        <f t="shared" si="66"/>
        <v>0</v>
      </c>
      <c r="L891" s="6">
        <f t="shared" si="67"/>
        <v>0</v>
      </c>
    </row>
    <row r="892" spans="1:12">
      <c r="A892">
        <f t="shared" si="68"/>
        <v>879</v>
      </c>
      <c r="B892" s="136">
        <f>IF(C$5=Data!D$3,'Step 2 Inflow Hydrograph'!H936,IF(C$5=Data!D$4,'Step 2 Inflow Hydrograph'!I936,IF(C$5=Data!D$5,'Step 2 Inflow Hydrograph'!J936,'Step 2 Inflow Hydrograph'!K936)))</f>
        <v>0</v>
      </c>
      <c r="C892" s="127"/>
      <c r="D892" s="6">
        <f t="shared" si="65"/>
        <v>0</v>
      </c>
      <c r="E892" s="6"/>
      <c r="F892" s="6">
        <f t="shared" si="69"/>
        <v>0</v>
      </c>
      <c r="G892" s="149">
        <f>INDEX('Step 4 Stage Discharge'!E$26:F$126,MATCH(F892,'Step 4 Stage Discharge'!E$26:E$126,1),2)+(INDEX('Step 4 Stage Discharge'!E$26:F$126,MATCH(F892,'Step 4 Stage Discharge'!E$26:E$126,1)+1,2)-INDEX('Step 4 Stage Discharge'!E$26:F$126,MATCH(F892,'Step 4 Stage Discharge'!E$26:E$126,1),2))*(F892-INDEX('Step 4 Stage Discharge'!E$26:F$126,MATCH(F892,'Step 4 Stage Discharge'!E$26:E$126,1),1))/(INDEX('Step 4 Stage Discharge'!E$26:F$126,MATCH(F892,'Step 4 Stage Discharge'!E$26:E$126,1)+1,1)-INDEX('Step 4 Stage Discharge'!E$26:F$126,MATCH(F892,'Step 4 Stage Discharge'!E$26:E$126,1),1))</f>
        <v>0</v>
      </c>
      <c r="H892" s="149"/>
      <c r="I892" s="149">
        <f>INDEX('Step 4 Stage Discharge'!E$26:M$126,MATCH(F892,'Step 4 Stage Discharge'!E$26:E$126,1),9)+(INDEX('Step 4 Stage Discharge'!E$26:M$126,MATCH('Step 5 Routing'!F892,'Step 4 Stage Discharge'!E$26:E$126,1)+1,9)-INDEX('Step 4 Stage Discharge'!E$26:M$126,MATCH('Step 5 Routing'!F892,'Step 4 Stage Discharge'!E$26:E$126,1),9))*('Step 5 Routing'!F892-INDEX('Step 4 Stage Discharge'!E$26:M$126,MATCH('Step 5 Routing'!F892,'Step 4 Stage Discharge'!E$26:E$126,1),1))/(INDEX('Step 4 Stage Discharge'!E$26:M$126,MATCH('Step 5 Routing'!F892,'Step 4 Stage Discharge'!E$26:E$126,1)+1,1)-INDEX('Step 4 Stage Discharge'!E$26:M$126,MATCH('Step 5 Routing'!F892,'Step 4 Stage Discharge'!E$26:E$126,1),1))</f>
        <v>4.3639431710317386E-3</v>
      </c>
      <c r="J892" s="149"/>
      <c r="K892" s="6">
        <f t="shared" si="66"/>
        <v>0</v>
      </c>
      <c r="L892" s="6">
        <f t="shared" si="67"/>
        <v>0</v>
      </c>
    </row>
    <row r="893" spans="1:12">
      <c r="A893">
        <f t="shared" si="68"/>
        <v>880</v>
      </c>
      <c r="B893" s="136">
        <f>IF(C$5=Data!D$3,'Step 2 Inflow Hydrograph'!H937,IF(C$5=Data!D$4,'Step 2 Inflow Hydrograph'!I937,IF(C$5=Data!D$5,'Step 2 Inflow Hydrograph'!J937,'Step 2 Inflow Hydrograph'!K937)))</f>
        <v>0</v>
      </c>
      <c r="C893" s="127"/>
      <c r="D893" s="6">
        <f t="shared" si="65"/>
        <v>0</v>
      </c>
      <c r="E893" s="6"/>
      <c r="F893" s="6">
        <f t="shared" si="69"/>
        <v>0</v>
      </c>
      <c r="G893" s="149">
        <f>INDEX('Step 4 Stage Discharge'!E$26:F$126,MATCH(F893,'Step 4 Stage Discharge'!E$26:E$126,1),2)+(INDEX('Step 4 Stage Discharge'!E$26:F$126,MATCH(F893,'Step 4 Stage Discharge'!E$26:E$126,1)+1,2)-INDEX('Step 4 Stage Discharge'!E$26:F$126,MATCH(F893,'Step 4 Stage Discharge'!E$26:E$126,1),2))*(F893-INDEX('Step 4 Stage Discharge'!E$26:F$126,MATCH(F893,'Step 4 Stage Discharge'!E$26:E$126,1),1))/(INDEX('Step 4 Stage Discharge'!E$26:F$126,MATCH(F893,'Step 4 Stage Discharge'!E$26:E$126,1)+1,1)-INDEX('Step 4 Stage Discharge'!E$26:F$126,MATCH(F893,'Step 4 Stage Discharge'!E$26:E$126,1),1))</f>
        <v>0</v>
      </c>
      <c r="H893" s="149"/>
      <c r="I893" s="149">
        <f>INDEX('Step 4 Stage Discharge'!E$26:M$126,MATCH(F893,'Step 4 Stage Discharge'!E$26:E$126,1),9)+(INDEX('Step 4 Stage Discharge'!E$26:M$126,MATCH('Step 5 Routing'!F893,'Step 4 Stage Discharge'!E$26:E$126,1)+1,9)-INDEX('Step 4 Stage Discharge'!E$26:M$126,MATCH('Step 5 Routing'!F893,'Step 4 Stage Discharge'!E$26:E$126,1),9))*('Step 5 Routing'!F893-INDEX('Step 4 Stage Discharge'!E$26:M$126,MATCH('Step 5 Routing'!F893,'Step 4 Stage Discharge'!E$26:E$126,1),1))/(INDEX('Step 4 Stage Discharge'!E$26:M$126,MATCH('Step 5 Routing'!F893,'Step 4 Stage Discharge'!E$26:E$126,1)+1,1)-INDEX('Step 4 Stage Discharge'!E$26:M$126,MATCH('Step 5 Routing'!F893,'Step 4 Stage Discharge'!E$26:E$126,1),1))</f>
        <v>4.3639431710317386E-3</v>
      </c>
      <c r="J893" s="149"/>
      <c r="K893" s="6">
        <f t="shared" si="66"/>
        <v>0</v>
      </c>
      <c r="L893" s="6">
        <f t="shared" si="67"/>
        <v>0</v>
      </c>
    </row>
    <row r="894" spans="1:12">
      <c r="A894">
        <f t="shared" si="68"/>
        <v>881</v>
      </c>
      <c r="B894" s="136">
        <f>IF(C$5=Data!D$3,'Step 2 Inflow Hydrograph'!H938,IF(C$5=Data!D$4,'Step 2 Inflow Hydrograph'!I938,IF(C$5=Data!D$5,'Step 2 Inflow Hydrograph'!J938,'Step 2 Inflow Hydrograph'!K938)))</f>
        <v>0</v>
      </c>
      <c r="C894" s="127"/>
      <c r="D894" s="6">
        <f t="shared" si="65"/>
        <v>0</v>
      </c>
      <c r="E894" s="6"/>
      <c r="F894" s="6">
        <f t="shared" si="69"/>
        <v>0</v>
      </c>
      <c r="G894" s="149">
        <f>INDEX('Step 4 Stage Discharge'!E$26:F$126,MATCH(F894,'Step 4 Stage Discharge'!E$26:E$126,1),2)+(INDEX('Step 4 Stage Discharge'!E$26:F$126,MATCH(F894,'Step 4 Stage Discharge'!E$26:E$126,1)+1,2)-INDEX('Step 4 Stage Discharge'!E$26:F$126,MATCH(F894,'Step 4 Stage Discharge'!E$26:E$126,1),2))*(F894-INDEX('Step 4 Stage Discharge'!E$26:F$126,MATCH(F894,'Step 4 Stage Discharge'!E$26:E$126,1),1))/(INDEX('Step 4 Stage Discharge'!E$26:F$126,MATCH(F894,'Step 4 Stage Discharge'!E$26:E$126,1)+1,1)-INDEX('Step 4 Stage Discharge'!E$26:F$126,MATCH(F894,'Step 4 Stage Discharge'!E$26:E$126,1),1))</f>
        <v>0</v>
      </c>
      <c r="H894" s="149"/>
      <c r="I894" s="149">
        <f>INDEX('Step 4 Stage Discharge'!E$26:M$126,MATCH(F894,'Step 4 Stage Discharge'!E$26:E$126,1),9)+(INDEX('Step 4 Stage Discharge'!E$26:M$126,MATCH('Step 5 Routing'!F894,'Step 4 Stage Discharge'!E$26:E$126,1)+1,9)-INDEX('Step 4 Stage Discharge'!E$26:M$126,MATCH('Step 5 Routing'!F894,'Step 4 Stage Discharge'!E$26:E$126,1),9))*('Step 5 Routing'!F894-INDEX('Step 4 Stage Discharge'!E$26:M$126,MATCH('Step 5 Routing'!F894,'Step 4 Stage Discharge'!E$26:E$126,1),1))/(INDEX('Step 4 Stage Discharge'!E$26:M$126,MATCH('Step 5 Routing'!F894,'Step 4 Stage Discharge'!E$26:E$126,1)+1,1)-INDEX('Step 4 Stage Discharge'!E$26:M$126,MATCH('Step 5 Routing'!F894,'Step 4 Stage Discharge'!E$26:E$126,1),1))</f>
        <v>4.3639431710317386E-3</v>
      </c>
      <c r="J894" s="149"/>
      <c r="K894" s="6">
        <f t="shared" si="66"/>
        <v>0</v>
      </c>
      <c r="L894" s="6">
        <f t="shared" si="67"/>
        <v>0</v>
      </c>
    </row>
    <row r="895" spans="1:12">
      <c r="A895">
        <f t="shared" si="68"/>
        <v>882</v>
      </c>
      <c r="B895" s="136">
        <f>IF(C$5=Data!D$3,'Step 2 Inflow Hydrograph'!H939,IF(C$5=Data!D$4,'Step 2 Inflow Hydrograph'!I939,IF(C$5=Data!D$5,'Step 2 Inflow Hydrograph'!J939,'Step 2 Inflow Hydrograph'!K939)))</f>
        <v>0</v>
      </c>
      <c r="C895" s="127"/>
      <c r="D895" s="6">
        <f t="shared" si="65"/>
        <v>0</v>
      </c>
      <c r="E895" s="6"/>
      <c r="F895" s="6">
        <f t="shared" si="69"/>
        <v>0</v>
      </c>
      <c r="G895" s="149">
        <f>INDEX('Step 4 Stage Discharge'!E$26:F$126,MATCH(F895,'Step 4 Stage Discharge'!E$26:E$126,1),2)+(INDEX('Step 4 Stage Discharge'!E$26:F$126,MATCH(F895,'Step 4 Stage Discharge'!E$26:E$126,1)+1,2)-INDEX('Step 4 Stage Discharge'!E$26:F$126,MATCH(F895,'Step 4 Stage Discharge'!E$26:E$126,1),2))*(F895-INDEX('Step 4 Stage Discharge'!E$26:F$126,MATCH(F895,'Step 4 Stage Discharge'!E$26:E$126,1),1))/(INDEX('Step 4 Stage Discharge'!E$26:F$126,MATCH(F895,'Step 4 Stage Discharge'!E$26:E$126,1)+1,1)-INDEX('Step 4 Stage Discharge'!E$26:F$126,MATCH(F895,'Step 4 Stage Discharge'!E$26:E$126,1),1))</f>
        <v>0</v>
      </c>
      <c r="H895" s="149"/>
      <c r="I895" s="149">
        <f>INDEX('Step 4 Stage Discharge'!E$26:M$126,MATCH(F895,'Step 4 Stage Discharge'!E$26:E$126,1),9)+(INDEX('Step 4 Stage Discharge'!E$26:M$126,MATCH('Step 5 Routing'!F895,'Step 4 Stage Discharge'!E$26:E$126,1)+1,9)-INDEX('Step 4 Stage Discharge'!E$26:M$126,MATCH('Step 5 Routing'!F895,'Step 4 Stage Discharge'!E$26:E$126,1),9))*('Step 5 Routing'!F895-INDEX('Step 4 Stage Discharge'!E$26:M$126,MATCH('Step 5 Routing'!F895,'Step 4 Stage Discharge'!E$26:E$126,1),1))/(INDEX('Step 4 Stage Discharge'!E$26:M$126,MATCH('Step 5 Routing'!F895,'Step 4 Stage Discharge'!E$26:E$126,1)+1,1)-INDEX('Step 4 Stage Discharge'!E$26:M$126,MATCH('Step 5 Routing'!F895,'Step 4 Stage Discharge'!E$26:E$126,1),1))</f>
        <v>4.3639431710317386E-3</v>
      </c>
      <c r="J895" s="149"/>
      <c r="K895" s="6">
        <f t="shared" si="66"/>
        <v>0</v>
      </c>
      <c r="L895" s="6">
        <f t="shared" si="67"/>
        <v>0</v>
      </c>
    </row>
    <row r="896" spans="1:12">
      <c r="A896">
        <f t="shared" si="68"/>
        <v>883</v>
      </c>
      <c r="B896" s="136">
        <f>IF(C$5=Data!D$3,'Step 2 Inflow Hydrograph'!H940,IF(C$5=Data!D$4,'Step 2 Inflow Hydrograph'!I940,IF(C$5=Data!D$5,'Step 2 Inflow Hydrograph'!J940,'Step 2 Inflow Hydrograph'!K940)))</f>
        <v>0</v>
      </c>
      <c r="C896" s="127"/>
      <c r="D896" s="6">
        <f t="shared" si="65"/>
        <v>0</v>
      </c>
      <c r="E896" s="6"/>
      <c r="F896" s="6">
        <f t="shared" si="69"/>
        <v>0</v>
      </c>
      <c r="G896" s="149">
        <f>INDEX('Step 4 Stage Discharge'!E$26:F$126,MATCH(F896,'Step 4 Stage Discharge'!E$26:E$126,1),2)+(INDEX('Step 4 Stage Discharge'!E$26:F$126,MATCH(F896,'Step 4 Stage Discharge'!E$26:E$126,1)+1,2)-INDEX('Step 4 Stage Discharge'!E$26:F$126,MATCH(F896,'Step 4 Stage Discharge'!E$26:E$126,1),2))*(F896-INDEX('Step 4 Stage Discharge'!E$26:F$126,MATCH(F896,'Step 4 Stage Discharge'!E$26:E$126,1),1))/(INDEX('Step 4 Stage Discharge'!E$26:F$126,MATCH(F896,'Step 4 Stage Discharge'!E$26:E$126,1)+1,1)-INDEX('Step 4 Stage Discharge'!E$26:F$126,MATCH(F896,'Step 4 Stage Discharge'!E$26:E$126,1),1))</f>
        <v>0</v>
      </c>
      <c r="H896" s="149"/>
      <c r="I896" s="149">
        <f>INDEX('Step 4 Stage Discharge'!E$26:M$126,MATCH(F896,'Step 4 Stage Discharge'!E$26:E$126,1),9)+(INDEX('Step 4 Stage Discharge'!E$26:M$126,MATCH('Step 5 Routing'!F896,'Step 4 Stage Discharge'!E$26:E$126,1)+1,9)-INDEX('Step 4 Stage Discharge'!E$26:M$126,MATCH('Step 5 Routing'!F896,'Step 4 Stage Discharge'!E$26:E$126,1),9))*('Step 5 Routing'!F896-INDEX('Step 4 Stage Discharge'!E$26:M$126,MATCH('Step 5 Routing'!F896,'Step 4 Stage Discharge'!E$26:E$126,1),1))/(INDEX('Step 4 Stage Discharge'!E$26:M$126,MATCH('Step 5 Routing'!F896,'Step 4 Stage Discharge'!E$26:E$126,1)+1,1)-INDEX('Step 4 Stage Discharge'!E$26:M$126,MATCH('Step 5 Routing'!F896,'Step 4 Stage Discharge'!E$26:E$126,1),1))</f>
        <v>4.3639431710317386E-3</v>
      </c>
      <c r="J896" s="149"/>
      <c r="K896" s="6">
        <f t="shared" si="66"/>
        <v>0</v>
      </c>
      <c r="L896" s="6">
        <f t="shared" si="67"/>
        <v>0</v>
      </c>
    </row>
    <row r="897" spans="1:12">
      <c r="A897">
        <f t="shared" si="68"/>
        <v>884</v>
      </c>
      <c r="B897" s="136">
        <f>IF(C$5=Data!D$3,'Step 2 Inflow Hydrograph'!H941,IF(C$5=Data!D$4,'Step 2 Inflow Hydrograph'!I941,IF(C$5=Data!D$5,'Step 2 Inflow Hydrograph'!J941,'Step 2 Inflow Hydrograph'!K941)))</f>
        <v>0</v>
      </c>
      <c r="C897" s="127"/>
      <c r="D897" s="6">
        <f t="shared" si="65"/>
        <v>0</v>
      </c>
      <c r="E897" s="6"/>
      <c r="F897" s="6">
        <f t="shared" si="69"/>
        <v>0</v>
      </c>
      <c r="G897" s="149">
        <f>INDEX('Step 4 Stage Discharge'!E$26:F$126,MATCH(F897,'Step 4 Stage Discharge'!E$26:E$126,1),2)+(INDEX('Step 4 Stage Discharge'!E$26:F$126,MATCH(F897,'Step 4 Stage Discharge'!E$26:E$126,1)+1,2)-INDEX('Step 4 Stage Discharge'!E$26:F$126,MATCH(F897,'Step 4 Stage Discharge'!E$26:E$126,1),2))*(F897-INDEX('Step 4 Stage Discharge'!E$26:F$126,MATCH(F897,'Step 4 Stage Discharge'!E$26:E$126,1),1))/(INDEX('Step 4 Stage Discharge'!E$26:F$126,MATCH(F897,'Step 4 Stage Discharge'!E$26:E$126,1)+1,1)-INDEX('Step 4 Stage Discharge'!E$26:F$126,MATCH(F897,'Step 4 Stage Discharge'!E$26:E$126,1),1))</f>
        <v>0</v>
      </c>
      <c r="H897" s="149"/>
      <c r="I897" s="149">
        <f>INDEX('Step 4 Stage Discharge'!E$26:M$126,MATCH(F897,'Step 4 Stage Discharge'!E$26:E$126,1),9)+(INDEX('Step 4 Stage Discharge'!E$26:M$126,MATCH('Step 5 Routing'!F897,'Step 4 Stage Discharge'!E$26:E$126,1)+1,9)-INDEX('Step 4 Stage Discharge'!E$26:M$126,MATCH('Step 5 Routing'!F897,'Step 4 Stage Discharge'!E$26:E$126,1),9))*('Step 5 Routing'!F897-INDEX('Step 4 Stage Discharge'!E$26:M$126,MATCH('Step 5 Routing'!F897,'Step 4 Stage Discharge'!E$26:E$126,1),1))/(INDEX('Step 4 Stage Discharge'!E$26:M$126,MATCH('Step 5 Routing'!F897,'Step 4 Stage Discharge'!E$26:E$126,1)+1,1)-INDEX('Step 4 Stage Discharge'!E$26:M$126,MATCH('Step 5 Routing'!F897,'Step 4 Stage Discharge'!E$26:E$126,1),1))</f>
        <v>4.3639431710317386E-3</v>
      </c>
      <c r="J897" s="149"/>
      <c r="K897" s="6">
        <f t="shared" si="66"/>
        <v>0</v>
      </c>
      <c r="L897" s="6">
        <f t="shared" si="67"/>
        <v>0</v>
      </c>
    </row>
    <row r="898" spans="1:12">
      <c r="A898">
        <f t="shared" si="68"/>
        <v>885</v>
      </c>
      <c r="B898" s="136">
        <f>IF(C$5=Data!D$3,'Step 2 Inflow Hydrograph'!H942,IF(C$5=Data!D$4,'Step 2 Inflow Hydrograph'!I942,IF(C$5=Data!D$5,'Step 2 Inflow Hydrograph'!J942,'Step 2 Inflow Hydrograph'!K942)))</f>
        <v>0</v>
      </c>
      <c r="C898" s="127"/>
      <c r="D898" s="6">
        <f t="shared" si="65"/>
        <v>0</v>
      </c>
      <c r="E898" s="6"/>
      <c r="F898" s="6">
        <f t="shared" si="69"/>
        <v>0</v>
      </c>
      <c r="G898" s="149">
        <f>INDEX('Step 4 Stage Discharge'!E$26:F$126,MATCH(F898,'Step 4 Stage Discharge'!E$26:E$126,1),2)+(INDEX('Step 4 Stage Discharge'!E$26:F$126,MATCH(F898,'Step 4 Stage Discharge'!E$26:E$126,1)+1,2)-INDEX('Step 4 Stage Discharge'!E$26:F$126,MATCH(F898,'Step 4 Stage Discharge'!E$26:E$126,1),2))*(F898-INDEX('Step 4 Stage Discharge'!E$26:F$126,MATCH(F898,'Step 4 Stage Discharge'!E$26:E$126,1),1))/(INDEX('Step 4 Stage Discharge'!E$26:F$126,MATCH(F898,'Step 4 Stage Discharge'!E$26:E$126,1)+1,1)-INDEX('Step 4 Stage Discharge'!E$26:F$126,MATCH(F898,'Step 4 Stage Discharge'!E$26:E$126,1),1))</f>
        <v>0</v>
      </c>
      <c r="H898" s="149"/>
      <c r="I898" s="149">
        <f>INDEX('Step 4 Stage Discharge'!E$26:M$126,MATCH(F898,'Step 4 Stage Discharge'!E$26:E$126,1),9)+(INDEX('Step 4 Stage Discharge'!E$26:M$126,MATCH('Step 5 Routing'!F898,'Step 4 Stage Discharge'!E$26:E$126,1)+1,9)-INDEX('Step 4 Stage Discharge'!E$26:M$126,MATCH('Step 5 Routing'!F898,'Step 4 Stage Discharge'!E$26:E$126,1),9))*('Step 5 Routing'!F898-INDEX('Step 4 Stage Discharge'!E$26:M$126,MATCH('Step 5 Routing'!F898,'Step 4 Stage Discharge'!E$26:E$126,1),1))/(INDEX('Step 4 Stage Discharge'!E$26:M$126,MATCH('Step 5 Routing'!F898,'Step 4 Stage Discharge'!E$26:E$126,1)+1,1)-INDEX('Step 4 Stage Discharge'!E$26:M$126,MATCH('Step 5 Routing'!F898,'Step 4 Stage Discharge'!E$26:E$126,1),1))</f>
        <v>4.3639431710317386E-3</v>
      </c>
      <c r="J898" s="149"/>
      <c r="K898" s="6">
        <f t="shared" si="66"/>
        <v>0</v>
      </c>
      <c r="L898" s="6">
        <f t="shared" si="67"/>
        <v>0</v>
      </c>
    </row>
    <row r="899" spans="1:12">
      <c r="A899">
        <f t="shared" si="68"/>
        <v>886</v>
      </c>
      <c r="B899" s="136">
        <f>IF(C$5=Data!D$3,'Step 2 Inflow Hydrograph'!H943,IF(C$5=Data!D$4,'Step 2 Inflow Hydrograph'!I943,IF(C$5=Data!D$5,'Step 2 Inflow Hydrograph'!J943,'Step 2 Inflow Hydrograph'!K943)))</f>
        <v>0</v>
      </c>
      <c r="C899" s="127"/>
      <c r="D899" s="6">
        <f t="shared" si="65"/>
        <v>0</v>
      </c>
      <c r="E899" s="6"/>
      <c r="F899" s="6">
        <f t="shared" si="69"/>
        <v>0</v>
      </c>
      <c r="G899" s="149">
        <f>INDEX('Step 4 Stage Discharge'!E$26:F$126,MATCH(F899,'Step 4 Stage Discharge'!E$26:E$126,1),2)+(INDEX('Step 4 Stage Discharge'!E$26:F$126,MATCH(F899,'Step 4 Stage Discharge'!E$26:E$126,1)+1,2)-INDEX('Step 4 Stage Discharge'!E$26:F$126,MATCH(F899,'Step 4 Stage Discharge'!E$26:E$126,1),2))*(F899-INDEX('Step 4 Stage Discharge'!E$26:F$126,MATCH(F899,'Step 4 Stage Discharge'!E$26:E$126,1),1))/(INDEX('Step 4 Stage Discharge'!E$26:F$126,MATCH(F899,'Step 4 Stage Discharge'!E$26:E$126,1)+1,1)-INDEX('Step 4 Stage Discharge'!E$26:F$126,MATCH(F899,'Step 4 Stage Discharge'!E$26:E$126,1),1))</f>
        <v>0</v>
      </c>
      <c r="H899" s="149"/>
      <c r="I899" s="149">
        <f>INDEX('Step 4 Stage Discharge'!E$26:M$126,MATCH(F899,'Step 4 Stage Discharge'!E$26:E$126,1),9)+(INDEX('Step 4 Stage Discharge'!E$26:M$126,MATCH('Step 5 Routing'!F899,'Step 4 Stage Discharge'!E$26:E$126,1)+1,9)-INDEX('Step 4 Stage Discharge'!E$26:M$126,MATCH('Step 5 Routing'!F899,'Step 4 Stage Discharge'!E$26:E$126,1),9))*('Step 5 Routing'!F899-INDEX('Step 4 Stage Discharge'!E$26:M$126,MATCH('Step 5 Routing'!F899,'Step 4 Stage Discharge'!E$26:E$126,1),1))/(INDEX('Step 4 Stage Discharge'!E$26:M$126,MATCH('Step 5 Routing'!F899,'Step 4 Stage Discharge'!E$26:E$126,1)+1,1)-INDEX('Step 4 Stage Discharge'!E$26:M$126,MATCH('Step 5 Routing'!F899,'Step 4 Stage Discharge'!E$26:E$126,1),1))</f>
        <v>4.3639431710317386E-3</v>
      </c>
      <c r="J899" s="149"/>
      <c r="K899" s="6">
        <f t="shared" si="66"/>
        <v>0</v>
      </c>
      <c r="L899" s="6">
        <f t="shared" si="67"/>
        <v>0</v>
      </c>
    </row>
    <row r="900" spans="1:12">
      <c r="A900">
        <f t="shared" si="68"/>
        <v>887</v>
      </c>
      <c r="B900" s="136">
        <f>IF(C$5=Data!D$3,'Step 2 Inflow Hydrograph'!H944,IF(C$5=Data!D$4,'Step 2 Inflow Hydrograph'!I944,IF(C$5=Data!D$5,'Step 2 Inflow Hydrograph'!J944,'Step 2 Inflow Hydrograph'!K944)))</f>
        <v>0</v>
      </c>
      <c r="C900" s="127"/>
      <c r="D900" s="6">
        <f t="shared" si="65"/>
        <v>0</v>
      </c>
      <c r="E900" s="6"/>
      <c r="F900" s="6">
        <f t="shared" si="69"/>
        <v>0</v>
      </c>
      <c r="G900" s="149">
        <f>INDEX('Step 4 Stage Discharge'!E$26:F$126,MATCH(F900,'Step 4 Stage Discharge'!E$26:E$126,1),2)+(INDEX('Step 4 Stage Discharge'!E$26:F$126,MATCH(F900,'Step 4 Stage Discharge'!E$26:E$126,1)+1,2)-INDEX('Step 4 Stage Discharge'!E$26:F$126,MATCH(F900,'Step 4 Stage Discharge'!E$26:E$126,1),2))*(F900-INDEX('Step 4 Stage Discharge'!E$26:F$126,MATCH(F900,'Step 4 Stage Discharge'!E$26:E$126,1),1))/(INDEX('Step 4 Stage Discharge'!E$26:F$126,MATCH(F900,'Step 4 Stage Discharge'!E$26:E$126,1)+1,1)-INDEX('Step 4 Stage Discharge'!E$26:F$126,MATCH(F900,'Step 4 Stage Discharge'!E$26:E$126,1),1))</f>
        <v>0</v>
      </c>
      <c r="H900" s="149"/>
      <c r="I900" s="149">
        <f>INDEX('Step 4 Stage Discharge'!E$26:M$126,MATCH(F900,'Step 4 Stage Discharge'!E$26:E$126,1),9)+(INDEX('Step 4 Stage Discharge'!E$26:M$126,MATCH('Step 5 Routing'!F900,'Step 4 Stage Discharge'!E$26:E$126,1)+1,9)-INDEX('Step 4 Stage Discharge'!E$26:M$126,MATCH('Step 5 Routing'!F900,'Step 4 Stage Discharge'!E$26:E$126,1),9))*('Step 5 Routing'!F900-INDEX('Step 4 Stage Discharge'!E$26:M$126,MATCH('Step 5 Routing'!F900,'Step 4 Stage Discharge'!E$26:E$126,1),1))/(INDEX('Step 4 Stage Discharge'!E$26:M$126,MATCH('Step 5 Routing'!F900,'Step 4 Stage Discharge'!E$26:E$126,1)+1,1)-INDEX('Step 4 Stage Discharge'!E$26:M$126,MATCH('Step 5 Routing'!F900,'Step 4 Stage Discharge'!E$26:E$126,1),1))</f>
        <v>4.3639431710317386E-3</v>
      </c>
      <c r="J900" s="149"/>
      <c r="K900" s="6">
        <f t="shared" si="66"/>
        <v>0</v>
      </c>
      <c r="L900" s="6">
        <f t="shared" si="67"/>
        <v>0</v>
      </c>
    </row>
    <row r="901" spans="1:12">
      <c r="A901">
        <f t="shared" si="68"/>
        <v>888</v>
      </c>
      <c r="B901" s="136">
        <f>IF(C$5=Data!D$3,'Step 2 Inflow Hydrograph'!H945,IF(C$5=Data!D$4,'Step 2 Inflow Hydrograph'!I945,IF(C$5=Data!D$5,'Step 2 Inflow Hydrograph'!J945,'Step 2 Inflow Hydrograph'!K945)))</f>
        <v>0</v>
      </c>
      <c r="C901" s="127"/>
      <c r="D901" s="6">
        <f t="shared" si="65"/>
        <v>0</v>
      </c>
      <c r="E901" s="6"/>
      <c r="F901" s="6">
        <f t="shared" si="69"/>
        <v>0</v>
      </c>
      <c r="G901" s="149">
        <f>INDEX('Step 4 Stage Discharge'!E$26:F$126,MATCH(F901,'Step 4 Stage Discharge'!E$26:E$126,1),2)+(INDEX('Step 4 Stage Discharge'!E$26:F$126,MATCH(F901,'Step 4 Stage Discharge'!E$26:E$126,1)+1,2)-INDEX('Step 4 Stage Discharge'!E$26:F$126,MATCH(F901,'Step 4 Stage Discharge'!E$26:E$126,1),2))*(F901-INDEX('Step 4 Stage Discharge'!E$26:F$126,MATCH(F901,'Step 4 Stage Discharge'!E$26:E$126,1),1))/(INDEX('Step 4 Stage Discharge'!E$26:F$126,MATCH(F901,'Step 4 Stage Discharge'!E$26:E$126,1)+1,1)-INDEX('Step 4 Stage Discharge'!E$26:F$126,MATCH(F901,'Step 4 Stage Discharge'!E$26:E$126,1),1))</f>
        <v>0</v>
      </c>
      <c r="H901" s="149"/>
      <c r="I901" s="149">
        <f>INDEX('Step 4 Stage Discharge'!E$26:M$126,MATCH(F901,'Step 4 Stage Discharge'!E$26:E$126,1),9)+(INDEX('Step 4 Stage Discharge'!E$26:M$126,MATCH('Step 5 Routing'!F901,'Step 4 Stage Discharge'!E$26:E$126,1)+1,9)-INDEX('Step 4 Stage Discharge'!E$26:M$126,MATCH('Step 5 Routing'!F901,'Step 4 Stage Discharge'!E$26:E$126,1),9))*('Step 5 Routing'!F901-INDEX('Step 4 Stage Discharge'!E$26:M$126,MATCH('Step 5 Routing'!F901,'Step 4 Stage Discharge'!E$26:E$126,1),1))/(INDEX('Step 4 Stage Discharge'!E$26:M$126,MATCH('Step 5 Routing'!F901,'Step 4 Stage Discharge'!E$26:E$126,1)+1,1)-INDEX('Step 4 Stage Discharge'!E$26:M$126,MATCH('Step 5 Routing'!F901,'Step 4 Stage Discharge'!E$26:E$126,1),1))</f>
        <v>4.3639431710317386E-3</v>
      </c>
      <c r="J901" s="149"/>
      <c r="K901" s="6">
        <f t="shared" si="66"/>
        <v>0</v>
      </c>
      <c r="L901" s="6">
        <f t="shared" si="67"/>
        <v>0</v>
      </c>
    </row>
    <row r="902" spans="1:12">
      <c r="A902">
        <f t="shared" si="68"/>
        <v>889</v>
      </c>
      <c r="B902" s="136">
        <f>IF(C$5=Data!D$3,'Step 2 Inflow Hydrograph'!H946,IF(C$5=Data!D$4,'Step 2 Inflow Hydrograph'!I946,IF(C$5=Data!D$5,'Step 2 Inflow Hydrograph'!J946,'Step 2 Inflow Hydrograph'!K946)))</f>
        <v>0</v>
      </c>
      <c r="C902" s="127"/>
      <c r="D902" s="6">
        <f t="shared" si="65"/>
        <v>0</v>
      </c>
      <c r="E902" s="6"/>
      <c r="F902" s="6">
        <f t="shared" si="69"/>
        <v>0</v>
      </c>
      <c r="G902" s="149">
        <f>INDEX('Step 4 Stage Discharge'!E$26:F$126,MATCH(F902,'Step 4 Stage Discharge'!E$26:E$126,1),2)+(INDEX('Step 4 Stage Discharge'!E$26:F$126,MATCH(F902,'Step 4 Stage Discharge'!E$26:E$126,1)+1,2)-INDEX('Step 4 Stage Discharge'!E$26:F$126,MATCH(F902,'Step 4 Stage Discharge'!E$26:E$126,1),2))*(F902-INDEX('Step 4 Stage Discharge'!E$26:F$126,MATCH(F902,'Step 4 Stage Discharge'!E$26:E$126,1),1))/(INDEX('Step 4 Stage Discharge'!E$26:F$126,MATCH(F902,'Step 4 Stage Discharge'!E$26:E$126,1)+1,1)-INDEX('Step 4 Stage Discharge'!E$26:F$126,MATCH(F902,'Step 4 Stage Discharge'!E$26:E$126,1),1))</f>
        <v>0</v>
      </c>
      <c r="H902" s="149"/>
      <c r="I902" s="149">
        <f>INDEX('Step 4 Stage Discharge'!E$26:M$126,MATCH(F902,'Step 4 Stage Discharge'!E$26:E$126,1),9)+(INDEX('Step 4 Stage Discharge'!E$26:M$126,MATCH('Step 5 Routing'!F902,'Step 4 Stage Discharge'!E$26:E$126,1)+1,9)-INDEX('Step 4 Stage Discharge'!E$26:M$126,MATCH('Step 5 Routing'!F902,'Step 4 Stage Discharge'!E$26:E$126,1),9))*('Step 5 Routing'!F902-INDEX('Step 4 Stage Discharge'!E$26:M$126,MATCH('Step 5 Routing'!F902,'Step 4 Stage Discharge'!E$26:E$126,1),1))/(INDEX('Step 4 Stage Discharge'!E$26:M$126,MATCH('Step 5 Routing'!F902,'Step 4 Stage Discharge'!E$26:E$126,1)+1,1)-INDEX('Step 4 Stage Discharge'!E$26:M$126,MATCH('Step 5 Routing'!F902,'Step 4 Stage Discharge'!E$26:E$126,1),1))</f>
        <v>4.3639431710317386E-3</v>
      </c>
      <c r="J902" s="149"/>
      <c r="K902" s="6">
        <f t="shared" si="66"/>
        <v>0</v>
      </c>
      <c r="L902" s="6">
        <f t="shared" si="67"/>
        <v>0</v>
      </c>
    </row>
    <row r="903" spans="1:12">
      <c r="A903">
        <f t="shared" si="68"/>
        <v>890</v>
      </c>
      <c r="B903" s="136">
        <f>IF(C$5=Data!D$3,'Step 2 Inflow Hydrograph'!H947,IF(C$5=Data!D$4,'Step 2 Inflow Hydrograph'!I947,IF(C$5=Data!D$5,'Step 2 Inflow Hydrograph'!J947,'Step 2 Inflow Hydrograph'!K947)))</f>
        <v>0</v>
      </c>
      <c r="C903" s="127"/>
      <c r="D903" s="6">
        <f t="shared" si="65"/>
        <v>0</v>
      </c>
      <c r="E903" s="6"/>
      <c r="F903" s="6">
        <f t="shared" si="69"/>
        <v>0</v>
      </c>
      <c r="G903" s="149">
        <f>INDEX('Step 4 Stage Discharge'!E$26:F$126,MATCH(F903,'Step 4 Stage Discharge'!E$26:E$126,1),2)+(INDEX('Step 4 Stage Discharge'!E$26:F$126,MATCH(F903,'Step 4 Stage Discharge'!E$26:E$126,1)+1,2)-INDEX('Step 4 Stage Discharge'!E$26:F$126,MATCH(F903,'Step 4 Stage Discharge'!E$26:E$126,1),2))*(F903-INDEX('Step 4 Stage Discharge'!E$26:F$126,MATCH(F903,'Step 4 Stage Discharge'!E$26:E$126,1),1))/(INDEX('Step 4 Stage Discharge'!E$26:F$126,MATCH(F903,'Step 4 Stage Discharge'!E$26:E$126,1)+1,1)-INDEX('Step 4 Stage Discharge'!E$26:F$126,MATCH(F903,'Step 4 Stage Discharge'!E$26:E$126,1),1))</f>
        <v>0</v>
      </c>
      <c r="H903" s="149"/>
      <c r="I903" s="149">
        <f>INDEX('Step 4 Stage Discharge'!E$26:M$126,MATCH(F903,'Step 4 Stage Discharge'!E$26:E$126,1),9)+(INDEX('Step 4 Stage Discharge'!E$26:M$126,MATCH('Step 5 Routing'!F903,'Step 4 Stage Discharge'!E$26:E$126,1)+1,9)-INDEX('Step 4 Stage Discharge'!E$26:M$126,MATCH('Step 5 Routing'!F903,'Step 4 Stage Discharge'!E$26:E$126,1),9))*('Step 5 Routing'!F903-INDEX('Step 4 Stage Discharge'!E$26:M$126,MATCH('Step 5 Routing'!F903,'Step 4 Stage Discharge'!E$26:E$126,1),1))/(INDEX('Step 4 Stage Discharge'!E$26:M$126,MATCH('Step 5 Routing'!F903,'Step 4 Stage Discharge'!E$26:E$126,1)+1,1)-INDEX('Step 4 Stage Discharge'!E$26:M$126,MATCH('Step 5 Routing'!F903,'Step 4 Stage Discharge'!E$26:E$126,1),1))</f>
        <v>4.3639431710317386E-3</v>
      </c>
      <c r="J903" s="149"/>
      <c r="K903" s="6">
        <f t="shared" si="66"/>
        <v>0</v>
      </c>
      <c r="L903" s="6">
        <f t="shared" si="67"/>
        <v>0</v>
      </c>
    </row>
    <row r="904" spans="1:12">
      <c r="A904">
        <f t="shared" si="68"/>
        <v>891</v>
      </c>
      <c r="B904" s="136">
        <f>IF(C$5=Data!D$3,'Step 2 Inflow Hydrograph'!H948,IF(C$5=Data!D$4,'Step 2 Inflow Hydrograph'!I948,IF(C$5=Data!D$5,'Step 2 Inflow Hydrograph'!J948,'Step 2 Inflow Hydrograph'!K948)))</f>
        <v>0</v>
      </c>
      <c r="C904" s="127"/>
      <c r="D904" s="6">
        <f t="shared" si="65"/>
        <v>0</v>
      </c>
      <c r="E904" s="6"/>
      <c r="F904" s="6">
        <f t="shared" si="69"/>
        <v>0</v>
      </c>
      <c r="G904" s="149">
        <f>INDEX('Step 4 Stage Discharge'!E$26:F$126,MATCH(F904,'Step 4 Stage Discharge'!E$26:E$126,1),2)+(INDEX('Step 4 Stage Discharge'!E$26:F$126,MATCH(F904,'Step 4 Stage Discharge'!E$26:E$126,1)+1,2)-INDEX('Step 4 Stage Discharge'!E$26:F$126,MATCH(F904,'Step 4 Stage Discharge'!E$26:E$126,1),2))*(F904-INDEX('Step 4 Stage Discharge'!E$26:F$126,MATCH(F904,'Step 4 Stage Discharge'!E$26:E$126,1),1))/(INDEX('Step 4 Stage Discharge'!E$26:F$126,MATCH(F904,'Step 4 Stage Discharge'!E$26:E$126,1)+1,1)-INDEX('Step 4 Stage Discharge'!E$26:F$126,MATCH(F904,'Step 4 Stage Discharge'!E$26:E$126,1),1))</f>
        <v>0</v>
      </c>
      <c r="H904" s="149"/>
      <c r="I904" s="149">
        <f>INDEX('Step 4 Stage Discharge'!E$26:M$126,MATCH(F904,'Step 4 Stage Discharge'!E$26:E$126,1),9)+(INDEX('Step 4 Stage Discharge'!E$26:M$126,MATCH('Step 5 Routing'!F904,'Step 4 Stage Discharge'!E$26:E$126,1)+1,9)-INDEX('Step 4 Stage Discharge'!E$26:M$126,MATCH('Step 5 Routing'!F904,'Step 4 Stage Discharge'!E$26:E$126,1),9))*('Step 5 Routing'!F904-INDEX('Step 4 Stage Discharge'!E$26:M$126,MATCH('Step 5 Routing'!F904,'Step 4 Stage Discharge'!E$26:E$126,1),1))/(INDEX('Step 4 Stage Discharge'!E$26:M$126,MATCH('Step 5 Routing'!F904,'Step 4 Stage Discharge'!E$26:E$126,1)+1,1)-INDEX('Step 4 Stage Discharge'!E$26:M$126,MATCH('Step 5 Routing'!F904,'Step 4 Stage Discharge'!E$26:E$126,1),1))</f>
        <v>4.3639431710317386E-3</v>
      </c>
      <c r="J904" s="149"/>
      <c r="K904" s="6">
        <f t="shared" si="66"/>
        <v>0</v>
      </c>
      <c r="L904" s="6">
        <f t="shared" si="67"/>
        <v>0</v>
      </c>
    </row>
    <row r="905" spans="1:12">
      <c r="A905">
        <f t="shared" si="68"/>
        <v>892</v>
      </c>
      <c r="B905" s="136">
        <f>IF(C$5=Data!D$3,'Step 2 Inflow Hydrograph'!H949,IF(C$5=Data!D$4,'Step 2 Inflow Hydrograph'!I949,IF(C$5=Data!D$5,'Step 2 Inflow Hydrograph'!J949,'Step 2 Inflow Hydrograph'!K949)))</f>
        <v>0</v>
      </c>
      <c r="C905" s="127"/>
      <c r="D905" s="6">
        <f t="shared" si="65"/>
        <v>0</v>
      </c>
      <c r="E905" s="6"/>
      <c r="F905" s="6">
        <f t="shared" si="69"/>
        <v>0</v>
      </c>
      <c r="G905" s="149">
        <f>INDEX('Step 4 Stage Discharge'!E$26:F$126,MATCH(F905,'Step 4 Stage Discharge'!E$26:E$126,1),2)+(INDEX('Step 4 Stage Discharge'!E$26:F$126,MATCH(F905,'Step 4 Stage Discharge'!E$26:E$126,1)+1,2)-INDEX('Step 4 Stage Discharge'!E$26:F$126,MATCH(F905,'Step 4 Stage Discharge'!E$26:E$126,1),2))*(F905-INDEX('Step 4 Stage Discharge'!E$26:F$126,MATCH(F905,'Step 4 Stage Discharge'!E$26:E$126,1),1))/(INDEX('Step 4 Stage Discharge'!E$26:F$126,MATCH(F905,'Step 4 Stage Discharge'!E$26:E$126,1)+1,1)-INDEX('Step 4 Stage Discharge'!E$26:F$126,MATCH(F905,'Step 4 Stage Discharge'!E$26:E$126,1),1))</f>
        <v>0</v>
      </c>
      <c r="H905" s="149"/>
      <c r="I905" s="149">
        <f>INDEX('Step 4 Stage Discharge'!E$26:M$126,MATCH(F905,'Step 4 Stage Discharge'!E$26:E$126,1),9)+(INDEX('Step 4 Stage Discharge'!E$26:M$126,MATCH('Step 5 Routing'!F905,'Step 4 Stage Discharge'!E$26:E$126,1)+1,9)-INDEX('Step 4 Stage Discharge'!E$26:M$126,MATCH('Step 5 Routing'!F905,'Step 4 Stage Discharge'!E$26:E$126,1),9))*('Step 5 Routing'!F905-INDEX('Step 4 Stage Discharge'!E$26:M$126,MATCH('Step 5 Routing'!F905,'Step 4 Stage Discharge'!E$26:E$126,1),1))/(INDEX('Step 4 Stage Discharge'!E$26:M$126,MATCH('Step 5 Routing'!F905,'Step 4 Stage Discharge'!E$26:E$126,1)+1,1)-INDEX('Step 4 Stage Discharge'!E$26:M$126,MATCH('Step 5 Routing'!F905,'Step 4 Stage Discharge'!E$26:E$126,1),1))</f>
        <v>4.3639431710317386E-3</v>
      </c>
      <c r="J905" s="149"/>
      <c r="K905" s="6">
        <f t="shared" si="66"/>
        <v>0</v>
      </c>
      <c r="L905" s="6">
        <f t="shared" si="67"/>
        <v>0</v>
      </c>
    </row>
    <row r="906" spans="1:12">
      <c r="A906">
        <f t="shared" si="68"/>
        <v>893</v>
      </c>
      <c r="B906" s="136">
        <f>IF(C$5=Data!D$3,'Step 2 Inflow Hydrograph'!H950,IF(C$5=Data!D$4,'Step 2 Inflow Hydrograph'!I950,IF(C$5=Data!D$5,'Step 2 Inflow Hydrograph'!J950,'Step 2 Inflow Hydrograph'!K950)))</f>
        <v>0</v>
      </c>
      <c r="C906" s="127"/>
      <c r="D906" s="6">
        <f t="shared" si="65"/>
        <v>0</v>
      </c>
      <c r="E906" s="6"/>
      <c r="F906" s="6">
        <f t="shared" si="69"/>
        <v>0</v>
      </c>
      <c r="G906" s="149">
        <f>INDEX('Step 4 Stage Discharge'!E$26:F$126,MATCH(F906,'Step 4 Stage Discharge'!E$26:E$126,1),2)+(INDEX('Step 4 Stage Discharge'!E$26:F$126,MATCH(F906,'Step 4 Stage Discharge'!E$26:E$126,1)+1,2)-INDEX('Step 4 Stage Discharge'!E$26:F$126,MATCH(F906,'Step 4 Stage Discharge'!E$26:E$126,1),2))*(F906-INDEX('Step 4 Stage Discharge'!E$26:F$126,MATCH(F906,'Step 4 Stage Discharge'!E$26:E$126,1),1))/(INDEX('Step 4 Stage Discharge'!E$26:F$126,MATCH(F906,'Step 4 Stage Discharge'!E$26:E$126,1)+1,1)-INDEX('Step 4 Stage Discharge'!E$26:F$126,MATCH(F906,'Step 4 Stage Discharge'!E$26:E$126,1),1))</f>
        <v>0</v>
      </c>
      <c r="H906" s="149"/>
      <c r="I906" s="149">
        <f>INDEX('Step 4 Stage Discharge'!E$26:M$126,MATCH(F906,'Step 4 Stage Discharge'!E$26:E$126,1),9)+(INDEX('Step 4 Stage Discharge'!E$26:M$126,MATCH('Step 5 Routing'!F906,'Step 4 Stage Discharge'!E$26:E$126,1)+1,9)-INDEX('Step 4 Stage Discharge'!E$26:M$126,MATCH('Step 5 Routing'!F906,'Step 4 Stage Discharge'!E$26:E$126,1),9))*('Step 5 Routing'!F906-INDEX('Step 4 Stage Discharge'!E$26:M$126,MATCH('Step 5 Routing'!F906,'Step 4 Stage Discharge'!E$26:E$126,1),1))/(INDEX('Step 4 Stage Discharge'!E$26:M$126,MATCH('Step 5 Routing'!F906,'Step 4 Stage Discharge'!E$26:E$126,1)+1,1)-INDEX('Step 4 Stage Discharge'!E$26:M$126,MATCH('Step 5 Routing'!F906,'Step 4 Stage Discharge'!E$26:E$126,1),1))</f>
        <v>4.3639431710317386E-3</v>
      </c>
      <c r="J906" s="149"/>
      <c r="K906" s="6">
        <f t="shared" si="66"/>
        <v>0</v>
      </c>
      <c r="L906" s="6">
        <f t="shared" si="67"/>
        <v>0</v>
      </c>
    </row>
    <row r="907" spans="1:12">
      <c r="A907">
        <f t="shared" si="68"/>
        <v>894</v>
      </c>
      <c r="B907" s="136">
        <f>IF(C$5=Data!D$3,'Step 2 Inflow Hydrograph'!H951,IF(C$5=Data!D$4,'Step 2 Inflow Hydrograph'!I951,IF(C$5=Data!D$5,'Step 2 Inflow Hydrograph'!J951,'Step 2 Inflow Hydrograph'!K951)))</f>
        <v>0</v>
      </c>
      <c r="C907" s="127"/>
      <c r="D907" s="6">
        <f t="shared" si="65"/>
        <v>0</v>
      </c>
      <c r="E907" s="6"/>
      <c r="F907" s="6">
        <f t="shared" si="69"/>
        <v>0</v>
      </c>
      <c r="G907" s="149">
        <f>INDEX('Step 4 Stage Discharge'!E$26:F$126,MATCH(F907,'Step 4 Stage Discharge'!E$26:E$126,1),2)+(INDEX('Step 4 Stage Discharge'!E$26:F$126,MATCH(F907,'Step 4 Stage Discharge'!E$26:E$126,1)+1,2)-INDEX('Step 4 Stage Discharge'!E$26:F$126,MATCH(F907,'Step 4 Stage Discharge'!E$26:E$126,1),2))*(F907-INDEX('Step 4 Stage Discharge'!E$26:F$126,MATCH(F907,'Step 4 Stage Discharge'!E$26:E$126,1),1))/(INDEX('Step 4 Stage Discharge'!E$26:F$126,MATCH(F907,'Step 4 Stage Discharge'!E$26:E$126,1)+1,1)-INDEX('Step 4 Stage Discharge'!E$26:F$126,MATCH(F907,'Step 4 Stage Discharge'!E$26:E$126,1),1))</f>
        <v>0</v>
      </c>
      <c r="H907" s="149"/>
      <c r="I907" s="149">
        <f>INDEX('Step 4 Stage Discharge'!E$26:M$126,MATCH(F907,'Step 4 Stage Discharge'!E$26:E$126,1),9)+(INDEX('Step 4 Stage Discharge'!E$26:M$126,MATCH('Step 5 Routing'!F907,'Step 4 Stage Discharge'!E$26:E$126,1)+1,9)-INDEX('Step 4 Stage Discharge'!E$26:M$126,MATCH('Step 5 Routing'!F907,'Step 4 Stage Discharge'!E$26:E$126,1),9))*('Step 5 Routing'!F907-INDEX('Step 4 Stage Discharge'!E$26:M$126,MATCH('Step 5 Routing'!F907,'Step 4 Stage Discharge'!E$26:E$126,1),1))/(INDEX('Step 4 Stage Discharge'!E$26:M$126,MATCH('Step 5 Routing'!F907,'Step 4 Stage Discharge'!E$26:E$126,1)+1,1)-INDEX('Step 4 Stage Discharge'!E$26:M$126,MATCH('Step 5 Routing'!F907,'Step 4 Stage Discharge'!E$26:E$126,1),1))</f>
        <v>4.3639431710317386E-3</v>
      </c>
      <c r="J907" s="149"/>
      <c r="K907" s="6">
        <f t="shared" si="66"/>
        <v>0</v>
      </c>
      <c r="L907" s="6">
        <f t="shared" si="67"/>
        <v>0</v>
      </c>
    </row>
    <row r="908" spans="1:12">
      <c r="A908">
        <f t="shared" si="68"/>
        <v>895</v>
      </c>
      <c r="B908" s="136">
        <f>IF(C$5=Data!D$3,'Step 2 Inflow Hydrograph'!H952,IF(C$5=Data!D$4,'Step 2 Inflow Hydrograph'!I952,IF(C$5=Data!D$5,'Step 2 Inflow Hydrograph'!J952,'Step 2 Inflow Hydrograph'!K952)))</f>
        <v>0</v>
      </c>
      <c r="C908" s="127"/>
      <c r="D908" s="6">
        <f t="shared" si="65"/>
        <v>0</v>
      </c>
      <c r="E908" s="6"/>
      <c r="F908" s="6">
        <f t="shared" si="69"/>
        <v>0</v>
      </c>
      <c r="G908" s="149">
        <f>INDEX('Step 4 Stage Discharge'!E$26:F$126,MATCH(F908,'Step 4 Stage Discharge'!E$26:E$126,1),2)+(INDEX('Step 4 Stage Discharge'!E$26:F$126,MATCH(F908,'Step 4 Stage Discharge'!E$26:E$126,1)+1,2)-INDEX('Step 4 Stage Discharge'!E$26:F$126,MATCH(F908,'Step 4 Stage Discharge'!E$26:E$126,1),2))*(F908-INDEX('Step 4 Stage Discharge'!E$26:F$126,MATCH(F908,'Step 4 Stage Discharge'!E$26:E$126,1),1))/(INDEX('Step 4 Stage Discharge'!E$26:F$126,MATCH(F908,'Step 4 Stage Discharge'!E$26:E$126,1)+1,1)-INDEX('Step 4 Stage Discharge'!E$26:F$126,MATCH(F908,'Step 4 Stage Discharge'!E$26:E$126,1),1))</f>
        <v>0</v>
      </c>
      <c r="H908" s="149"/>
      <c r="I908" s="149">
        <f>INDEX('Step 4 Stage Discharge'!E$26:M$126,MATCH(F908,'Step 4 Stage Discharge'!E$26:E$126,1),9)+(INDEX('Step 4 Stage Discharge'!E$26:M$126,MATCH('Step 5 Routing'!F908,'Step 4 Stage Discharge'!E$26:E$126,1)+1,9)-INDEX('Step 4 Stage Discharge'!E$26:M$126,MATCH('Step 5 Routing'!F908,'Step 4 Stage Discharge'!E$26:E$126,1),9))*('Step 5 Routing'!F908-INDEX('Step 4 Stage Discharge'!E$26:M$126,MATCH('Step 5 Routing'!F908,'Step 4 Stage Discharge'!E$26:E$126,1),1))/(INDEX('Step 4 Stage Discharge'!E$26:M$126,MATCH('Step 5 Routing'!F908,'Step 4 Stage Discharge'!E$26:E$126,1)+1,1)-INDEX('Step 4 Stage Discharge'!E$26:M$126,MATCH('Step 5 Routing'!F908,'Step 4 Stage Discharge'!E$26:E$126,1),1))</f>
        <v>4.3639431710317386E-3</v>
      </c>
      <c r="J908" s="149"/>
      <c r="K908" s="6">
        <f t="shared" si="66"/>
        <v>0</v>
      </c>
      <c r="L908" s="6">
        <f t="shared" si="67"/>
        <v>0</v>
      </c>
    </row>
    <row r="909" spans="1:12">
      <c r="A909">
        <f t="shared" si="68"/>
        <v>896</v>
      </c>
      <c r="B909" s="136">
        <f>IF(C$5=Data!D$3,'Step 2 Inflow Hydrograph'!H953,IF(C$5=Data!D$4,'Step 2 Inflow Hydrograph'!I953,IF(C$5=Data!D$5,'Step 2 Inflow Hydrograph'!J953,'Step 2 Inflow Hydrograph'!K953)))</f>
        <v>0</v>
      </c>
      <c r="C909" s="127"/>
      <c r="D909" s="6">
        <f t="shared" si="65"/>
        <v>0</v>
      </c>
      <c r="E909" s="6"/>
      <c r="F909" s="6">
        <f t="shared" si="69"/>
        <v>0</v>
      </c>
      <c r="G909" s="149">
        <f>INDEX('Step 4 Stage Discharge'!E$26:F$126,MATCH(F909,'Step 4 Stage Discharge'!E$26:E$126,1),2)+(INDEX('Step 4 Stage Discharge'!E$26:F$126,MATCH(F909,'Step 4 Stage Discharge'!E$26:E$126,1)+1,2)-INDEX('Step 4 Stage Discharge'!E$26:F$126,MATCH(F909,'Step 4 Stage Discharge'!E$26:E$126,1),2))*(F909-INDEX('Step 4 Stage Discharge'!E$26:F$126,MATCH(F909,'Step 4 Stage Discharge'!E$26:E$126,1),1))/(INDEX('Step 4 Stage Discharge'!E$26:F$126,MATCH(F909,'Step 4 Stage Discharge'!E$26:E$126,1)+1,1)-INDEX('Step 4 Stage Discharge'!E$26:F$126,MATCH(F909,'Step 4 Stage Discharge'!E$26:E$126,1),1))</f>
        <v>0</v>
      </c>
      <c r="H909" s="149"/>
      <c r="I909" s="149">
        <f>INDEX('Step 4 Stage Discharge'!E$26:M$126,MATCH(F909,'Step 4 Stage Discharge'!E$26:E$126,1),9)+(INDEX('Step 4 Stage Discharge'!E$26:M$126,MATCH('Step 5 Routing'!F909,'Step 4 Stage Discharge'!E$26:E$126,1)+1,9)-INDEX('Step 4 Stage Discharge'!E$26:M$126,MATCH('Step 5 Routing'!F909,'Step 4 Stage Discharge'!E$26:E$126,1),9))*('Step 5 Routing'!F909-INDEX('Step 4 Stage Discharge'!E$26:M$126,MATCH('Step 5 Routing'!F909,'Step 4 Stage Discharge'!E$26:E$126,1),1))/(INDEX('Step 4 Stage Discharge'!E$26:M$126,MATCH('Step 5 Routing'!F909,'Step 4 Stage Discharge'!E$26:E$126,1)+1,1)-INDEX('Step 4 Stage Discharge'!E$26:M$126,MATCH('Step 5 Routing'!F909,'Step 4 Stage Discharge'!E$26:E$126,1),1))</f>
        <v>4.3639431710317386E-3</v>
      </c>
      <c r="J909" s="149"/>
      <c r="K909" s="6">
        <f t="shared" si="66"/>
        <v>0</v>
      </c>
      <c r="L909" s="6">
        <f t="shared" ref="L909:L913" si="70">IF(F909-K909&lt;0,0,F909-K909)</f>
        <v>0</v>
      </c>
    </row>
    <row r="910" spans="1:12">
      <c r="A910">
        <f t="shared" si="68"/>
        <v>897</v>
      </c>
      <c r="B910" s="136">
        <f>IF(C$5=Data!D$3,'Step 2 Inflow Hydrograph'!H954,IF(C$5=Data!D$4,'Step 2 Inflow Hydrograph'!I954,IF(C$5=Data!D$5,'Step 2 Inflow Hydrograph'!J954,'Step 2 Inflow Hydrograph'!K954)))</f>
        <v>0</v>
      </c>
      <c r="C910" s="127"/>
      <c r="D910" s="6">
        <f t="shared" si="65"/>
        <v>0</v>
      </c>
      <c r="E910" s="6"/>
      <c r="F910" s="6">
        <f t="shared" si="69"/>
        <v>0</v>
      </c>
      <c r="G910" s="149">
        <f>INDEX('Step 4 Stage Discharge'!E$26:F$126,MATCH(F910,'Step 4 Stage Discharge'!E$26:E$126,1),2)+(INDEX('Step 4 Stage Discharge'!E$26:F$126,MATCH(F910,'Step 4 Stage Discharge'!E$26:E$126,1)+1,2)-INDEX('Step 4 Stage Discharge'!E$26:F$126,MATCH(F910,'Step 4 Stage Discharge'!E$26:E$126,1),2))*(F910-INDEX('Step 4 Stage Discharge'!E$26:F$126,MATCH(F910,'Step 4 Stage Discharge'!E$26:E$126,1),1))/(INDEX('Step 4 Stage Discharge'!E$26:F$126,MATCH(F910,'Step 4 Stage Discharge'!E$26:E$126,1)+1,1)-INDEX('Step 4 Stage Discharge'!E$26:F$126,MATCH(F910,'Step 4 Stage Discharge'!E$26:E$126,1),1))</f>
        <v>0</v>
      </c>
      <c r="H910" s="149"/>
      <c r="I910" s="149">
        <f>INDEX('Step 4 Stage Discharge'!E$26:M$126,MATCH(F910,'Step 4 Stage Discharge'!E$26:E$126,1),9)+(INDEX('Step 4 Stage Discharge'!E$26:M$126,MATCH('Step 5 Routing'!F910,'Step 4 Stage Discharge'!E$26:E$126,1)+1,9)-INDEX('Step 4 Stage Discharge'!E$26:M$126,MATCH('Step 5 Routing'!F910,'Step 4 Stage Discharge'!E$26:E$126,1),9))*('Step 5 Routing'!F910-INDEX('Step 4 Stage Discharge'!E$26:M$126,MATCH('Step 5 Routing'!F910,'Step 4 Stage Discharge'!E$26:E$126,1),1))/(INDEX('Step 4 Stage Discharge'!E$26:M$126,MATCH('Step 5 Routing'!F910,'Step 4 Stage Discharge'!E$26:E$126,1)+1,1)-INDEX('Step 4 Stage Discharge'!E$26:M$126,MATCH('Step 5 Routing'!F910,'Step 4 Stage Discharge'!E$26:E$126,1),1))</f>
        <v>4.3639431710317386E-3</v>
      </c>
      <c r="J910" s="149"/>
      <c r="K910" s="6">
        <f t="shared" si="66"/>
        <v>0</v>
      </c>
      <c r="L910" s="6">
        <f t="shared" si="70"/>
        <v>0</v>
      </c>
    </row>
    <row r="911" spans="1:12">
      <c r="A911">
        <f t="shared" si="68"/>
        <v>898</v>
      </c>
      <c r="B911" s="136">
        <f>IF(C$5=Data!D$3,'Step 2 Inflow Hydrograph'!H955,IF(C$5=Data!D$4,'Step 2 Inflow Hydrograph'!I955,IF(C$5=Data!D$5,'Step 2 Inflow Hydrograph'!J955,'Step 2 Inflow Hydrograph'!K955)))</f>
        <v>0</v>
      </c>
      <c r="C911" s="127"/>
      <c r="D911" s="6">
        <f t="shared" si="65"/>
        <v>0</v>
      </c>
      <c r="E911" s="6"/>
      <c r="F911" s="6">
        <f t="shared" si="69"/>
        <v>0</v>
      </c>
      <c r="G911" s="149">
        <f>INDEX('Step 4 Stage Discharge'!E$26:F$126,MATCH(F911,'Step 4 Stage Discharge'!E$26:E$126,1),2)+(INDEX('Step 4 Stage Discharge'!E$26:F$126,MATCH(F911,'Step 4 Stage Discharge'!E$26:E$126,1)+1,2)-INDEX('Step 4 Stage Discharge'!E$26:F$126,MATCH(F911,'Step 4 Stage Discharge'!E$26:E$126,1),2))*(F911-INDEX('Step 4 Stage Discharge'!E$26:F$126,MATCH(F911,'Step 4 Stage Discharge'!E$26:E$126,1),1))/(INDEX('Step 4 Stage Discharge'!E$26:F$126,MATCH(F911,'Step 4 Stage Discharge'!E$26:E$126,1)+1,1)-INDEX('Step 4 Stage Discharge'!E$26:F$126,MATCH(F911,'Step 4 Stage Discharge'!E$26:E$126,1),1))</f>
        <v>0</v>
      </c>
      <c r="H911" s="149"/>
      <c r="I911" s="149">
        <f>INDEX('Step 4 Stage Discharge'!E$26:M$126,MATCH(F911,'Step 4 Stage Discharge'!E$26:E$126,1),9)+(INDEX('Step 4 Stage Discharge'!E$26:M$126,MATCH('Step 5 Routing'!F911,'Step 4 Stage Discharge'!E$26:E$126,1)+1,9)-INDEX('Step 4 Stage Discharge'!E$26:M$126,MATCH('Step 5 Routing'!F911,'Step 4 Stage Discharge'!E$26:E$126,1),9))*('Step 5 Routing'!F911-INDEX('Step 4 Stage Discharge'!E$26:M$126,MATCH('Step 5 Routing'!F911,'Step 4 Stage Discharge'!E$26:E$126,1),1))/(INDEX('Step 4 Stage Discharge'!E$26:M$126,MATCH('Step 5 Routing'!F911,'Step 4 Stage Discharge'!E$26:E$126,1)+1,1)-INDEX('Step 4 Stage Discharge'!E$26:M$126,MATCH('Step 5 Routing'!F911,'Step 4 Stage Discharge'!E$26:E$126,1),1))</f>
        <v>4.3639431710317386E-3</v>
      </c>
      <c r="J911" s="149"/>
      <c r="K911" s="6">
        <f t="shared" si="66"/>
        <v>0</v>
      </c>
      <c r="L911" s="6">
        <f t="shared" si="70"/>
        <v>0</v>
      </c>
    </row>
    <row r="912" spans="1:12">
      <c r="A912">
        <f t="shared" si="68"/>
        <v>899</v>
      </c>
      <c r="B912" s="136">
        <f>IF(C$5=Data!D$3,'Step 2 Inflow Hydrograph'!H956,IF(C$5=Data!D$4,'Step 2 Inflow Hydrograph'!I956,IF(C$5=Data!D$5,'Step 2 Inflow Hydrograph'!J956,'Step 2 Inflow Hydrograph'!K956)))</f>
        <v>0</v>
      </c>
      <c r="C912" s="127"/>
      <c r="D912" s="6">
        <f t="shared" si="65"/>
        <v>0</v>
      </c>
      <c r="E912" s="6"/>
      <c r="F912" s="6">
        <f t="shared" si="69"/>
        <v>0</v>
      </c>
      <c r="G912" s="149">
        <f>INDEX('Step 4 Stage Discharge'!E$26:F$126,MATCH(F912,'Step 4 Stage Discharge'!E$26:E$126,1),2)+(INDEX('Step 4 Stage Discharge'!E$26:F$126,MATCH(F912,'Step 4 Stage Discharge'!E$26:E$126,1)+1,2)-INDEX('Step 4 Stage Discharge'!E$26:F$126,MATCH(F912,'Step 4 Stage Discharge'!E$26:E$126,1),2))*(F912-INDEX('Step 4 Stage Discharge'!E$26:F$126,MATCH(F912,'Step 4 Stage Discharge'!E$26:E$126,1),1))/(INDEX('Step 4 Stage Discharge'!E$26:F$126,MATCH(F912,'Step 4 Stage Discharge'!E$26:E$126,1)+1,1)-INDEX('Step 4 Stage Discharge'!E$26:F$126,MATCH(F912,'Step 4 Stage Discharge'!E$26:E$126,1),1))</f>
        <v>0</v>
      </c>
      <c r="H912" s="149"/>
      <c r="I912" s="149">
        <f>INDEX('Step 4 Stage Discharge'!E$26:M$126,MATCH(F912,'Step 4 Stage Discharge'!E$26:E$126,1),9)+(INDEX('Step 4 Stage Discharge'!E$26:M$126,MATCH('Step 5 Routing'!F912,'Step 4 Stage Discharge'!E$26:E$126,1)+1,9)-INDEX('Step 4 Stage Discharge'!E$26:M$126,MATCH('Step 5 Routing'!F912,'Step 4 Stage Discharge'!E$26:E$126,1),9))*('Step 5 Routing'!F912-INDEX('Step 4 Stage Discharge'!E$26:M$126,MATCH('Step 5 Routing'!F912,'Step 4 Stage Discharge'!E$26:E$126,1),1))/(INDEX('Step 4 Stage Discharge'!E$26:M$126,MATCH('Step 5 Routing'!F912,'Step 4 Stage Discharge'!E$26:E$126,1)+1,1)-INDEX('Step 4 Stage Discharge'!E$26:M$126,MATCH('Step 5 Routing'!F912,'Step 4 Stage Discharge'!E$26:E$126,1),1))</f>
        <v>4.3639431710317386E-3</v>
      </c>
      <c r="J912" s="149"/>
      <c r="K912" s="6">
        <f t="shared" si="66"/>
        <v>0</v>
      </c>
      <c r="L912" s="6">
        <f t="shared" si="70"/>
        <v>0</v>
      </c>
    </row>
    <row r="913" spans="1:12">
      <c r="A913">
        <f t="shared" si="68"/>
        <v>900</v>
      </c>
      <c r="B913" s="136">
        <f>IF(C$5=Data!D$3,'Step 2 Inflow Hydrograph'!H957,IF(C$5=Data!D$4,'Step 2 Inflow Hydrograph'!I957,IF(C$5=Data!D$5,'Step 2 Inflow Hydrograph'!J957,'Step 2 Inflow Hydrograph'!K957)))</f>
        <v>0</v>
      </c>
      <c r="C913" s="127"/>
      <c r="D913" s="6">
        <f t="shared" si="65"/>
        <v>0</v>
      </c>
      <c r="E913" s="6"/>
      <c r="F913" s="6">
        <f t="shared" si="69"/>
        <v>0</v>
      </c>
      <c r="G913" s="149">
        <f>INDEX('Step 4 Stage Discharge'!E$26:F$126,MATCH(F913,'Step 4 Stage Discharge'!E$26:E$126,1),2)+(INDEX('Step 4 Stage Discharge'!E$26:F$126,MATCH(F913,'Step 4 Stage Discharge'!E$26:E$126,1)+1,2)-INDEX('Step 4 Stage Discharge'!E$26:F$126,MATCH(F913,'Step 4 Stage Discharge'!E$26:E$126,1),2))*(F913-INDEX('Step 4 Stage Discharge'!E$26:F$126,MATCH(F913,'Step 4 Stage Discharge'!E$26:E$126,1),1))/(INDEX('Step 4 Stage Discharge'!E$26:F$126,MATCH(F913,'Step 4 Stage Discharge'!E$26:E$126,1)+1,1)-INDEX('Step 4 Stage Discharge'!E$26:F$126,MATCH(F913,'Step 4 Stage Discharge'!E$26:E$126,1),1))</f>
        <v>0</v>
      </c>
      <c r="H913" s="149"/>
      <c r="I913" s="149">
        <f>INDEX('Step 4 Stage Discharge'!E$26:M$126,MATCH(F913,'Step 4 Stage Discharge'!E$26:E$126,1),9)+(INDEX('Step 4 Stage Discharge'!E$26:M$126,MATCH('Step 5 Routing'!F913,'Step 4 Stage Discharge'!E$26:E$126,1)+1,9)-INDEX('Step 4 Stage Discharge'!E$26:M$126,MATCH('Step 5 Routing'!F913,'Step 4 Stage Discharge'!E$26:E$126,1),9))*('Step 5 Routing'!F913-INDEX('Step 4 Stage Discharge'!E$26:M$126,MATCH('Step 5 Routing'!F913,'Step 4 Stage Discharge'!E$26:E$126,1),1))/(INDEX('Step 4 Stage Discharge'!E$26:M$126,MATCH('Step 5 Routing'!F913,'Step 4 Stage Discharge'!E$26:E$126,1)+1,1)-INDEX('Step 4 Stage Discharge'!E$26:M$126,MATCH('Step 5 Routing'!F913,'Step 4 Stage Discharge'!E$26:E$126,1),1))</f>
        <v>4.3639431710317386E-3</v>
      </c>
      <c r="J913" s="149"/>
      <c r="K913" s="6">
        <f t="shared" si="66"/>
        <v>0</v>
      </c>
      <c r="L913" s="6">
        <f t="shared" si="70"/>
        <v>0</v>
      </c>
    </row>
  </sheetData>
  <mergeCells count="3">
    <mergeCell ref="I8:J9"/>
    <mergeCell ref="I2:L2"/>
    <mergeCell ref="C5:E5"/>
  </mergeCells>
  <phoneticPr fontId="0" type="noConversion"/>
  <pageMargins left="0.75" right="0.75" top="1" bottom="1" header="0.5" footer="0.5"/>
  <pageSetup paperSize="9" scale="75" fitToHeight="20" orientation="portrait" horizontalDpi="200" verticalDpi="2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Data!$D$3:$D$6</xm:f>
          </x14:formula1>
          <xm:sqref>C5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916"/>
  <sheetViews>
    <sheetView workbookViewId="0">
      <selection activeCell="H12" sqref="H12"/>
    </sheetView>
  </sheetViews>
  <sheetFormatPr defaultRowHeight="12.75"/>
  <cols>
    <col min="1" max="1" width="11.7109375" style="14" customWidth="1"/>
    <col min="2" max="2" width="14.5703125" style="11" customWidth="1"/>
    <col min="3" max="3" width="12.42578125" style="14" customWidth="1"/>
    <col min="4" max="4" width="12.5703125" style="14" customWidth="1"/>
    <col min="5" max="5" width="15" style="14" customWidth="1"/>
    <col min="6" max="6" width="13.85546875" style="14" customWidth="1"/>
    <col min="7" max="7" width="14.28515625" style="14" customWidth="1"/>
    <col min="8" max="16384" width="9.140625" style="14"/>
  </cols>
  <sheetData>
    <row r="1" spans="1:14" ht="15.75">
      <c r="A1" s="143" t="s">
        <v>285</v>
      </c>
    </row>
    <row r="2" spans="1:14" ht="15.75">
      <c r="A2" s="13"/>
    </row>
    <row r="3" spans="1:14" ht="7.5" customHeight="1">
      <c r="A3" s="13"/>
      <c r="E3" s="168"/>
      <c r="F3" s="168"/>
      <c r="G3" s="168"/>
    </row>
    <row r="4" spans="1:14">
      <c r="A4" s="220" t="s">
        <v>287</v>
      </c>
      <c r="B4" s="221"/>
      <c r="C4" s="192">
        <f>+'Step 3 Pond Sizing'!I19</f>
        <v>99.6</v>
      </c>
      <c r="D4" s="165"/>
      <c r="E4" s="220" t="s">
        <v>290</v>
      </c>
      <c r="F4" s="220"/>
      <c r="G4" s="228" t="str">
        <f>+'Step 4 Stage Discharge'!D18</f>
        <v>Orifice</v>
      </c>
    </row>
    <row r="5" spans="1:14" ht="5.0999999999999996" customHeight="1">
      <c r="A5" s="220"/>
      <c r="B5" s="221"/>
      <c r="C5" s="192"/>
      <c r="D5" s="165"/>
      <c r="E5" s="165"/>
      <c r="F5" s="220"/>
      <c r="G5" s="220"/>
    </row>
    <row r="6" spans="1:14">
      <c r="A6" s="222" t="s">
        <v>266</v>
      </c>
      <c r="B6" s="223"/>
      <c r="C6" s="192">
        <f>+'Step 3 Pond Sizing'!I17</f>
        <v>99.1</v>
      </c>
      <c r="D6" s="165"/>
      <c r="E6" s="220" t="s">
        <v>291</v>
      </c>
      <c r="F6" s="192" t="str">
        <f>IF(G4="Orifice and Weir","Orifice","")</f>
        <v/>
      </c>
      <c r="G6" s="229">
        <f>(G4="Sharp Crested Weir")*'Step 4 Stage Discharge'!K6+(G4="orifice")*'Step 4 Stage Discharge'!K11+(G4="Orifice and Weir")*'Step 4 Stage Discharge'!K11</f>
        <v>99</v>
      </c>
    </row>
    <row r="7" spans="1:14">
      <c r="A7" s="224"/>
      <c r="B7" s="221"/>
      <c r="C7" s="165"/>
      <c r="D7" s="165"/>
      <c r="E7" s="165"/>
      <c r="F7" s="192" t="str">
        <f>IF(G4="Orifice and Weir","Weir","")</f>
        <v/>
      </c>
      <c r="G7" s="229" t="str">
        <f>IF(G4="Orifice and Weir",'Step 4 Stage Discharge'!K6,"")</f>
        <v/>
      </c>
    </row>
    <row r="8" spans="1:14" ht="5.0999999999999996" customHeight="1" thickBot="1">
      <c r="A8" s="224"/>
      <c r="B8" s="221"/>
      <c r="C8" s="165"/>
      <c r="D8" s="165"/>
      <c r="E8" s="165"/>
      <c r="F8" s="217"/>
      <c r="G8" s="217"/>
    </row>
    <row r="9" spans="1:14" ht="16.5" thickBot="1">
      <c r="A9" s="222" t="s">
        <v>292</v>
      </c>
      <c r="B9" s="221"/>
      <c r="C9" s="225">
        <v>5</v>
      </c>
      <c r="D9" s="165"/>
      <c r="E9" s="257" t="s">
        <v>206</v>
      </c>
      <c r="F9" s="257"/>
      <c r="G9" s="257"/>
    </row>
    <row r="10" spans="1:14" ht="5.0999999999999996" customHeight="1" thickBot="1">
      <c r="A10" s="222"/>
      <c r="B10" s="221"/>
      <c r="C10" s="226"/>
      <c r="D10" s="165"/>
      <c r="E10" s="211"/>
      <c r="F10" s="144"/>
      <c r="G10" s="144"/>
    </row>
    <row r="11" spans="1:14" ht="13.5" thickBot="1">
      <c r="A11" s="213" t="s">
        <v>288</v>
      </c>
      <c r="B11" s="221"/>
      <c r="C11" s="225">
        <v>1E-3</v>
      </c>
      <c r="D11" s="192"/>
      <c r="E11" s="212" t="s">
        <v>299</v>
      </c>
      <c r="F11" s="214"/>
      <c r="G11" s="191">
        <f>ROUND(INDEX(Time,MATCH(C11,Depth,-1),1),1)</f>
        <v>100</v>
      </c>
    </row>
    <row r="12" spans="1:14">
      <c r="A12" s="165"/>
      <c r="B12" s="221"/>
      <c r="C12" s="220"/>
      <c r="D12" s="165"/>
      <c r="E12" s="213"/>
      <c r="F12" s="231" t="s">
        <v>300</v>
      </c>
      <c r="G12" s="215" t="str">
        <f>ROUND(G11/60,1)&amp;"  hrs"</f>
        <v>1.7  hrs</v>
      </c>
      <c r="H12" s="179"/>
    </row>
    <row r="13" spans="1:14" ht="5.0999999999999996" customHeight="1">
      <c r="A13" s="165"/>
      <c r="B13" s="221"/>
      <c r="C13" s="220"/>
      <c r="D13" s="165"/>
      <c r="E13" s="213"/>
      <c r="F13" s="231"/>
      <c r="G13" s="215"/>
      <c r="H13" s="189"/>
    </row>
    <row r="14" spans="1:14" s="181" customFormat="1" ht="27.75" customHeight="1">
      <c r="A14" s="190" t="s">
        <v>34</v>
      </c>
      <c r="B14" s="150" t="s">
        <v>286</v>
      </c>
      <c r="C14" s="190" t="s">
        <v>199</v>
      </c>
      <c r="D14" s="190" t="s">
        <v>2</v>
      </c>
      <c r="E14" s="190" t="s">
        <v>28</v>
      </c>
      <c r="F14" s="190" t="s">
        <v>32</v>
      </c>
      <c r="G14" s="190" t="s">
        <v>33</v>
      </c>
    </row>
    <row r="15" spans="1:14" s="179" customFormat="1" ht="14.25">
      <c r="A15" s="192" t="s">
        <v>30</v>
      </c>
      <c r="B15" s="227" t="s">
        <v>20</v>
      </c>
      <c r="C15" s="192" t="s">
        <v>35</v>
      </c>
      <c r="D15" s="192" t="s">
        <v>20</v>
      </c>
      <c r="E15" s="192" t="s">
        <v>29</v>
      </c>
      <c r="F15" s="192" t="s">
        <v>35</v>
      </c>
      <c r="G15" s="192" t="s">
        <v>35</v>
      </c>
      <c r="K15" s="232" t="s">
        <v>289</v>
      </c>
      <c r="L15" s="232"/>
      <c r="M15" s="232"/>
      <c r="N15" s="232"/>
    </row>
    <row r="16" spans="1:14">
      <c r="A16" s="217">
        <v>0</v>
      </c>
      <c r="B16" s="216">
        <f>+'Step 3 Pond Sizing'!I19</f>
        <v>99.6</v>
      </c>
      <c r="C16" s="218">
        <f>+'Step 3 Pond Sizing'!I48</f>
        <v>228.47999999999911</v>
      </c>
      <c r="D16" s="219">
        <f>INDEX('Step 4 Stage Discharge'!E$26:F$126,MATCH(C16,'Step 4 Stage Discharge'!E$26:E$126,1),2)+(INDEX('Step 4 Stage Discharge'!E$26:F$126,MATCH(C16,'Step 4 Stage Discharge'!E$26:E$126,1)+1,2)-INDEX('Step 4 Stage Discharge'!E$26:F$126,MATCH(C16,'Step 4 Stage Discharge'!E$26:E$126,1),2))*(C16-INDEX('Step 4 Stage Discharge'!E$26:F$126,MATCH(C16,'Step 4 Stage Discharge'!E$26:E$126,1),1))/(INDEX('Step 4 Stage Discharge'!E$26:F$126,MATCH(C16,'Step 4 Stage Discharge'!E$26:E$126,1)+1,1)-INDEX('Step 4 Stage Discharge'!E$26:F$126,MATCH(C16,'Step 4 Stage Discharge'!E$26:E$126,1),1))</f>
        <v>0.49999999999999822</v>
      </c>
      <c r="E16" s="219">
        <f>INDEX('Step 4 Stage Discharge'!E$26:M$126,MATCH(C16,'Step 4 Stage Discharge'!E$26:E$126,1),9)+(INDEX('Step 4 Stage Discharge'!E$26:M$126,MATCH('Step 6 Quality Check'!C16,'Step 4 Stage Discharge'!E$26:E$126,1)+1,9)-INDEX('Step 4 Stage Discharge'!E$26:M$126,MATCH('Step 6 Quality Check'!C16,'Step 4 Stage Discharge'!E$26:E$126,1),9))*('Step 6 Quality Check'!C16-INDEX('Step 4 Stage Discharge'!E$26:M$126,MATCH('Step 6 Quality Check'!C16,'Step 4 Stage Discharge'!E$26:E$126,1),1))/(INDEX('Step 4 Stage Discharge'!E$26:M$126,MATCH('Step 6 Quality Check'!C16,'Step 4 Stage Discharge'!E$26:E$126,1)+1,1)-INDEX('Step 4 Stage Discharge'!E$26:M$126,MATCH('Step 6 Quality Check'!C16,'Step 4 Stage Discharge'!E$26:E$126,1),1))</f>
        <v>0.10376341849975047</v>
      </c>
      <c r="F16" s="218">
        <f t="shared" ref="F16:F79" si="0">IF(E16*60*C$9&gt;C16,C16,E16*60*C$9)</f>
        <v>31.129025549925142</v>
      </c>
      <c r="G16" s="218">
        <f t="shared" ref="G16:G79" si="1">IF(C16-F16&lt;0,0,C16-F16)</f>
        <v>197.35097445007398</v>
      </c>
      <c r="K16" s="69" t="s">
        <v>272</v>
      </c>
      <c r="L16" s="69"/>
      <c r="M16" s="86"/>
    </row>
    <row r="17" spans="1:13">
      <c r="A17" s="217">
        <f t="shared" ref="A17:A80" si="2">+A16+C$9</f>
        <v>5</v>
      </c>
      <c r="B17" s="216">
        <f>C$6+D17</f>
        <v>99.540173305754294</v>
      </c>
      <c r="C17" s="218">
        <f>+G16</f>
        <v>197.35097445007398</v>
      </c>
      <c r="D17" s="219">
        <f>INDEX('Step 4 Stage Discharge'!E$26:F$126,MATCH(C17,'Step 4 Stage Discharge'!E$26:E$126,1),2)+(INDEX('Step 4 Stage Discharge'!E$26:F$126,MATCH(C17,'Step 4 Stage Discharge'!E$26:E$126,1)+1,2)-INDEX('Step 4 Stage Discharge'!E$26:F$126,MATCH(C17,'Step 4 Stage Discharge'!E$26:E$126,1),2))*(C17-INDEX('Step 4 Stage Discharge'!E$26:F$126,MATCH(C17,'Step 4 Stage Discharge'!E$26:E$126,1),1))/(INDEX('Step 4 Stage Discharge'!E$26:F$126,MATCH(C17,'Step 4 Stage Discharge'!E$26:E$126,1)+1,1)-INDEX('Step 4 Stage Discharge'!E$26:F$126,MATCH(C17,'Step 4 Stage Discharge'!E$26:E$126,1),1))</f>
        <v>0.44017330575429348</v>
      </c>
      <c r="E17" s="219">
        <f>INDEX('Step 4 Stage Discharge'!E$26:M$126,MATCH(C17,'Step 4 Stage Discharge'!E$26:E$126,1),9)+(INDEX('Step 4 Stage Discharge'!E$26:M$126,MATCH('Step 6 Quality Check'!C17,'Step 4 Stage Discharge'!E$26:E$126,1)+1,9)-INDEX('Step 4 Stage Discharge'!E$26:M$126,MATCH('Step 6 Quality Check'!C17,'Step 4 Stage Discharge'!E$26:E$126,1),9))*('Step 6 Quality Check'!C17-INDEX('Step 4 Stage Discharge'!E$26:M$126,MATCH('Step 6 Quality Check'!C17,'Step 4 Stage Discharge'!E$26:E$126,1),1))/(INDEX('Step 4 Stage Discharge'!E$26:M$126,MATCH('Step 6 Quality Check'!C17,'Step 4 Stage Discharge'!E$26:E$126,1)+1,1)-INDEX('Step 4 Stage Discharge'!E$26:M$126,MATCH('Step 6 Quality Check'!C17,'Step 4 Stage Discharge'!E$26:E$126,1),1))</f>
        <v>9.6684757680378569E-2</v>
      </c>
      <c r="F17" s="218">
        <f t="shared" si="0"/>
        <v>29.005427304113567</v>
      </c>
      <c r="G17" s="218">
        <f t="shared" si="1"/>
        <v>168.34554714596041</v>
      </c>
      <c r="K17" s="69"/>
      <c r="L17" s="69"/>
      <c r="M17" s="86"/>
    </row>
    <row r="18" spans="1:13">
      <c r="A18" s="217">
        <f t="shared" si="2"/>
        <v>10</v>
      </c>
      <c r="B18" s="216">
        <f t="shared" ref="B18:B81" si="3">C$6+D18</f>
        <v>99.483393890691005</v>
      </c>
      <c r="C18" s="218">
        <f t="shared" ref="C18:C81" si="4">+G17</f>
        <v>168.34554714596041</v>
      </c>
      <c r="D18" s="219">
        <f>INDEX('Step 4 Stage Discharge'!E$26:F$126,MATCH(C18,'Step 4 Stage Discharge'!E$26:E$126,1),2)+(INDEX('Step 4 Stage Discharge'!E$26:F$126,MATCH(C18,'Step 4 Stage Discharge'!E$26:E$126,1)+1,2)-INDEX('Step 4 Stage Discharge'!E$26:F$126,MATCH(C18,'Step 4 Stage Discharge'!E$26:E$126,1),2))*(C18-INDEX('Step 4 Stage Discharge'!E$26:F$126,MATCH(C18,'Step 4 Stage Discharge'!E$26:E$126,1),1))/(INDEX('Step 4 Stage Discharge'!E$26:F$126,MATCH(C18,'Step 4 Stage Discharge'!E$26:E$126,1)+1,1)-INDEX('Step 4 Stage Discharge'!E$26:F$126,MATCH(C18,'Step 4 Stage Discharge'!E$26:E$126,1),1))</f>
        <v>0.38339389069101576</v>
      </c>
      <c r="E18" s="219">
        <f>INDEX('Step 4 Stage Discharge'!E$26:M$126,MATCH(C18,'Step 4 Stage Discharge'!E$26:E$126,1),9)+(INDEX('Step 4 Stage Discharge'!E$26:M$126,MATCH('Step 6 Quality Check'!C18,'Step 4 Stage Discharge'!E$26:E$126,1)+1,9)-INDEX('Step 4 Stage Discharge'!E$26:M$126,MATCH('Step 6 Quality Check'!C18,'Step 4 Stage Discharge'!E$26:E$126,1),9))*('Step 6 Quality Check'!C18-INDEX('Step 4 Stage Discharge'!E$26:M$126,MATCH('Step 6 Quality Check'!C18,'Step 4 Stage Discharge'!E$26:E$126,1),1))/(INDEX('Step 4 Stage Discharge'!E$26:M$126,MATCH('Step 6 Quality Check'!C18,'Step 4 Stage Discharge'!E$26:E$126,1)+1,1)-INDEX('Step 4 Stage Discharge'!E$26:M$126,MATCH('Step 6 Quality Check'!C18,'Step 4 Stage Discharge'!E$26:E$126,1),1))</f>
        <v>8.9673176516628164E-2</v>
      </c>
      <c r="F18" s="218">
        <f t="shared" si="0"/>
        <v>26.901952954988452</v>
      </c>
      <c r="G18" s="218">
        <f t="shared" si="1"/>
        <v>141.44359419097196</v>
      </c>
      <c r="K18" s="69"/>
      <c r="L18" s="69"/>
      <c r="M18" s="86"/>
    </row>
    <row r="19" spans="1:13">
      <c r="A19" s="217">
        <f t="shared" si="2"/>
        <v>15</v>
      </c>
      <c r="B19" s="216">
        <f t="shared" si="3"/>
        <v>99.428257899227276</v>
      </c>
      <c r="C19" s="218">
        <f t="shared" si="4"/>
        <v>141.44359419097196</v>
      </c>
      <c r="D19" s="219">
        <f>INDEX('Step 4 Stage Discharge'!E$26:F$126,MATCH(C19,'Step 4 Stage Discharge'!E$26:E$126,1),2)+(INDEX('Step 4 Stage Discharge'!E$26:F$126,MATCH(C19,'Step 4 Stage Discharge'!E$26:E$126,1)+1,2)-INDEX('Step 4 Stage Discharge'!E$26:F$126,MATCH(C19,'Step 4 Stage Discharge'!E$26:E$126,1),2))*(C19-INDEX('Step 4 Stage Discharge'!E$26:F$126,MATCH(C19,'Step 4 Stage Discharge'!E$26:E$126,1),1))/(INDEX('Step 4 Stage Discharge'!E$26:F$126,MATCH(C19,'Step 4 Stage Discharge'!E$26:E$126,1)+1,1)-INDEX('Step 4 Stage Discharge'!E$26:F$126,MATCH(C19,'Step 4 Stage Discharge'!E$26:E$126,1),1))</f>
        <v>0.32825789922727489</v>
      </c>
      <c r="E19" s="219">
        <f>INDEX('Step 4 Stage Discharge'!E$26:M$126,MATCH(C19,'Step 4 Stage Discharge'!E$26:E$126,1),9)+(INDEX('Step 4 Stage Discharge'!E$26:M$126,MATCH('Step 6 Quality Check'!C19,'Step 4 Stage Discharge'!E$26:E$126,1)+1,9)-INDEX('Step 4 Stage Discharge'!E$26:M$126,MATCH('Step 6 Quality Check'!C19,'Step 4 Stage Discharge'!E$26:E$126,1),9))*('Step 6 Quality Check'!C19-INDEX('Step 4 Stage Discharge'!E$26:M$126,MATCH('Step 6 Quality Check'!C19,'Step 4 Stage Discharge'!E$26:E$126,1),1))/(INDEX('Step 4 Stage Discharge'!E$26:M$126,MATCH('Step 6 Quality Check'!C19,'Step 4 Stage Discharge'!E$26:E$126,1)+1,1)-INDEX('Step 4 Stage Discharge'!E$26:M$126,MATCH('Step 6 Quality Check'!C19,'Step 4 Stage Discharge'!E$26:E$126,1),1))</f>
        <v>8.2175122096885864E-2</v>
      </c>
      <c r="F19" s="218">
        <f t="shared" si="0"/>
        <v>24.652536629065761</v>
      </c>
      <c r="G19" s="218">
        <f t="shared" si="1"/>
        <v>116.7910575619062</v>
      </c>
      <c r="K19" s="69"/>
      <c r="L19" s="69"/>
      <c r="M19" s="86"/>
    </row>
    <row r="20" spans="1:13">
      <c r="A20" s="217">
        <f t="shared" si="2"/>
        <v>20</v>
      </c>
      <c r="B20" s="216">
        <f t="shared" si="3"/>
        <v>99.376185905580186</v>
      </c>
      <c r="C20" s="218">
        <f t="shared" si="4"/>
        <v>116.7910575619062</v>
      </c>
      <c r="D20" s="219">
        <f>INDEX('Step 4 Stage Discharge'!E$26:F$126,MATCH(C20,'Step 4 Stage Discharge'!E$26:E$126,1),2)+(INDEX('Step 4 Stage Discharge'!E$26:F$126,MATCH(C20,'Step 4 Stage Discharge'!E$26:E$126,1)+1,2)-INDEX('Step 4 Stage Discharge'!E$26:F$126,MATCH(C20,'Step 4 Stage Discharge'!E$26:E$126,1),2))*(C20-INDEX('Step 4 Stage Discharge'!E$26:F$126,MATCH(C20,'Step 4 Stage Discharge'!E$26:E$126,1),1))/(INDEX('Step 4 Stage Discharge'!E$26:F$126,MATCH(C20,'Step 4 Stage Discharge'!E$26:E$126,1)+1,1)-INDEX('Step 4 Stage Discharge'!E$26:F$126,MATCH(C20,'Step 4 Stage Discharge'!E$26:E$126,1),1))</f>
        <v>0.27618590558019068</v>
      </c>
      <c r="E20" s="219">
        <f>INDEX('Step 4 Stage Discharge'!E$26:M$126,MATCH(C20,'Step 4 Stage Discharge'!E$26:E$126,1),9)+(INDEX('Step 4 Stage Discharge'!E$26:M$126,MATCH('Step 6 Quality Check'!C20,'Step 4 Stage Discharge'!E$26:E$126,1)+1,9)-INDEX('Step 4 Stage Discharge'!E$26:M$126,MATCH('Step 6 Quality Check'!C20,'Step 4 Stage Discharge'!E$26:E$126,1),9))*('Step 6 Quality Check'!C20-INDEX('Step 4 Stage Discharge'!E$26:M$126,MATCH('Step 6 Quality Check'!C20,'Step 4 Stage Discharge'!E$26:E$126,1),1))/(INDEX('Step 4 Stage Discharge'!E$26:M$126,MATCH('Step 6 Quality Check'!C20,'Step 4 Stage Discharge'!E$26:E$126,1)+1,1)-INDEX('Step 4 Stage Discharge'!E$26:M$126,MATCH('Step 6 Quality Check'!C20,'Step 4 Stage Discharge'!E$26:E$126,1),1))</f>
        <v>7.4397678387227731E-2</v>
      </c>
      <c r="F20" s="218">
        <f t="shared" si="0"/>
        <v>22.319303516168318</v>
      </c>
      <c r="G20" s="218">
        <f t="shared" si="1"/>
        <v>94.471754045737882</v>
      </c>
      <c r="K20" s="69"/>
      <c r="L20" s="69"/>
      <c r="M20" s="86"/>
    </row>
    <row r="21" spans="1:13">
      <c r="A21" s="217">
        <f t="shared" si="2"/>
        <v>25</v>
      </c>
      <c r="B21" s="216">
        <f t="shared" si="3"/>
        <v>99.327265811953652</v>
      </c>
      <c r="C21" s="218">
        <f t="shared" si="4"/>
        <v>94.471754045737882</v>
      </c>
      <c r="D21" s="219">
        <f>INDEX('Step 4 Stage Discharge'!E$26:F$126,MATCH(C21,'Step 4 Stage Discharge'!E$26:E$126,1),2)+(INDEX('Step 4 Stage Discharge'!E$26:F$126,MATCH(C21,'Step 4 Stage Discharge'!E$26:E$126,1)+1,2)-INDEX('Step 4 Stage Discharge'!E$26:F$126,MATCH(C21,'Step 4 Stage Discharge'!E$26:E$126,1),2))*(C21-INDEX('Step 4 Stage Discharge'!E$26:F$126,MATCH(C21,'Step 4 Stage Discharge'!E$26:E$126,1),1))/(INDEX('Step 4 Stage Discharge'!E$26:F$126,MATCH(C21,'Step 4 Stage Discharge'!E$26:E$126,1)+1,1)-INDEX('Step 4 Stage Discharge'!E$26:F$126,MATCH(C21,'Step 4 Stage Discharge'!E$26:E$126,1),1))</f>
        <v>0.22726581195366008</v>
      </c>
      <c r="E21" s="219">
        <f>INDEX('Step 4 Stage Discharge'!E$26:M$126,MATCH(C21,'Step 4 Stage Discharge'!E$26:E$126,1),9)+(INDEX('Step 4 Stage Discharge'!E$26:M$126,MATCH('Step 6 Quality Check'!C21,'Step 4 Stage Discharge'!E$26:E$126,1)+1,9)-INDEX('Step 4 Stage Discharge'!E$26:M$126,MATCH('Step 6 Quality Check'!C21,'Step 4 Stage Discharge'!E$26:E$126,1),9))*('Step 6 Quality Check'!C21-INDEX('Step 4 Stage Discharge'!E$26:M$126,MATCH('Step 6 Quality Check'!C21,'Step 4 Stage Discharge'!E$26:E$126,1),1))/(INDEX('Step 4 Stage Discharge'!E$26:M$126,MATCH('Step 6 Quality Check'!C21,'Step 4 Stage Discharge'!E$26:E$126,1)+1,1)-INDEX('Step 4 Stage Discharge'!E$26:M$126,MATCH('Step 6 Quality Check'!C21,'Step 4 Stage Discharge'!E$26:E$126,1),1))</f>
        <v>6.6315037955602674E-2</v>
      </c>
      <c r="F21" s="218">
        <f t="shared" si="0"/>
        <v>19.894511386680801</v>
      </c>
      <c r="G21" s="218">
        <f t="shared" si="1"/>
        <v>74.577242659057077</v>
      </c>
      <c r="K21" s="80"/>
      <c r="L21" s="80"/>
      <c r="M21" s="86"/>
    </row>
    <row r="22" spans="1:13">
      <c r="A22" s="217">
        <f t="shared" si="2"/>
        <v>30</v>
      </c>
      <c r="B22" s="216">
        <f t="shared" si="3"/>
        <v>99.282470943047059</v>
      </c>
      <c r="C22" s="218">
        <f t="shared" si="4"/>
        <v>74.577242659057077</v>
      </c>
      <c r="D22" s="219">
        <f>INDEX('Step 4 Stage Discharge'!E$26:F$126,MATCH(C22,'Step 4 Stage Discharge'!E$26:E$126,1),2)+(INDEX('Step 4 Stage Discharge'!E$26:F$126,MATCH(C22,'Step 4 Stage Discharge'!E$26:E$126,1)+1,2)-INDEX('Step 4 Stage Discharge'!E$26:F$126,MATCH(C22,'Step 4 Stage Discharge'!E$26:E$126,1),2))*(C22-INDEX('Step 4 Stage Discharge'!E$26:F$126,MATCH(C22,'Step 4 Stage Discharge'!E$26:E$126,1),1))/(INDEX('Step 4 Stage Discharge'!E$26:F$126,MATCH(C22,'Step 4 Stage Discharge'!E$26:E$126,1)+1,1)-INDEX('Step 4 Stage Discharge'!E$26:F$126,MATCH(C22,'Step 4 Stage Discharge'!E$26:E$126,1),1))</f>
        <v>0.18247094304706798</v>
      </c>
      <c r="E22" s="219">
        <f>INDEX('Step 4 Stage Discharge'!E$26:M$126,MATCH(C22,'Step 4 Stage Discharge'!E$26:E$126,1),9)+(INDEX('Step 4 Stage Discharge'!E$26:M$126,MATCH('Step 6 Quality Check'!C22,'Step 4 Stage Discharge'!E$26:E$126,1)+1,9)-INDEX('Step 4 Stage Discharge'!E$26:M$126,MATCH('Step 6 Quality Check'!C22,'Step 4 Stage Discharge'!E$26:E$126,1),9))*('Step 6 Quality Check'!C22-INDEX('Step 4 Stage Discharge'!E$26:M$126,MATCH('Step 6 Quality Check'!C22,'Step 4 Stage Discharge'!E$26:E$126,1),1))/(INDEX('Step 4 Stage Discharge'!E$26:M$126,MATCH('Step 6 Quality Check'!C22,'Step 4 Stage Discharge'!E$26:E$126,1)+1,1)-INDEX('Step 4 Stage Discharge'!E$26:M$126,MATCH('Step 6 Quality Check'!C22,'Step 4 Stage Discharge'!E$26:E$126,1),1))</f>
        <v>5.438477518085913E-2</v>
      </c>
      <c r="F22" s="218">
        <f t="shared" si="0"/>
        <v>16.31543255425774</v>
      </c>
      <c r="G22" s="218">
        <f t="shared" si="1"/>
        <v>58.261810104799338</v>
      </c>
      <c r="K22" s="80"/>
      <c r="L22" s="80"/>
      <c r="M22" s="86"/>
    </row>
    <row r="23" spans="1:13" ht="14.25">
      <c r="A23" s="217">
        <f t="shared" si="2"/>
        <v>35</v>
      </c>
      <c r="B23" s="216">
        <f t="shared" si="3"/>
        <v>99.244106965069591</v>
      </c>
      <c r="C23" s="218">
        <f t="shared" si="4"/>
        <v>58.261810104799338</v>
      </c>
      <c r="D23" s="219">
        <f>INDEX('Step 4 Stage Discharge'!E$26:F$126,MATCH(C23,'Step 4 Stage Discharge'!E$26:E$126,1),2)+(INDEX('Step 4 Stage Discharge'!E$26:F$126,MATCH(C23,'Step 4 Stage Discharge'!E$26:E$126,1)+1,2)-INDEX('Step 4 Stage Discharge'!E$26:F$126,MATCH(C23,'Step 4 Stage Discharge'!E$26:E$126,1),2))*(C23-INDEX('Step 4 Stage Discharge'!E$26:F$126,MATCH(C23,'Step 4 Stage Discharge'!E$26:E$126,1),1))/(INDEX('Step 4 Stage Discharge'!E$26:F$126,MATCH(C23,'Step 4 Stage Discharge'!E$26:E$126,1)+1,1)-INDEX('Step 4 Stage Discharge'!E$26:F$126,MATCH(C23,'Step 4 Stage Discharge'!E$26:E$126,1),1))</f>
        <v>0.14410696506959964</v>
      </c>
      <c r="E23" s="219">
        <f>INDEX('Step 4 Stage Discharge'!E$26:M$126,MATCH(C23,'Step 4 Stage Discharge'!E$26:E$126,1),9)+(INDEX('Step 4 Stage Discharge'!E$26:M$126,MATCH('Step 6 Quality Check'!C23,'Step 4 Stage Discharge'!E$26:E$126,1)+1,9)-INDEX('Step 4 Stage Discharge'!E$26:M$126,MATCH('Step 6 Quality Check'!C23,'Step 4 Stage Discharge'!E$26:E$126,1),9))*('Step 6 Quality Check'!C23-INDEX('Step 4 Stage Discharge'!E$26:M$126,MATCH('Step 6 Quality Check'!C23,'Step 4 Stage Discharge'!E$26:E$126,1),1))/(INDEX('Step 4 Stage Discharge'!E$26:M$126,MATCH('Step 6 Quality Check'!C23,'Step 4 Stage Discharge'!E$26:E$126,1)+1,1)-INDEX('Step 4 Stage Discharge'!E$26:M$126,MATCH('Step 6 Quality Check'!C23,'Step 4 Stage Discharge'!E$26:E$126,1),1))</f>
        <v>3.8133658572309062E-2</v>
      </c>
      <c r="F23" s="218">
        <f t="shared" si="0"/>
        <v>11.440097571692718</v>
      </c>
      <c r="G23" s="218">
        <f t="shared" si="1"/>
        <v>46.82171253310662</v>
      </c>
      <c r="K23" s="207" t="s">
        <v>278</v>
      </c>
      <c r="L23" s="208" t="s">
        <v>279</v>
      </c>
      <c r="M23" s="86"/>
    </row>
    <row r="24" spans="1:13" ht="14.25">
      <c r="A24" s="217">
        <f t="shared" si="2"/>
        <v>40</v>
      </c>
      <c r="B24" s="216">
        <f t="shared" si="3"/>
        <v>99.217206810884832</v>
      </c>
      <c r="C24" s="218">
        <f t="shared" si="4"/>
        <v>46.82171253310662</v>
      </c>
      <c r="D24" s="219">
        <f>INDEX('Step 4 Stage Discharge'!E$26:F$126,MATCH(C24,'Step 4 Stage Discharge'!E$26:E$126,1),2)+(INDEX('Step 4 Stage Discharge'!E$26:F$126,MATCH(C24,'Step 4 Stage Discharge'!E$26:E$126,1)+1,2)-INDEX('Step 4 Stage Discharge'!E$26:F$126,MATCH(C24,'Step 4 Stage Discharge'!E$26:E$126,1),2))*(C24-INDEX('Step 4 Stage Discharge'!E$26:F$126,MATCH(C24,'Step 4 Stage Discharge'!E$26:E$126,1),1))/(INDEX('Step 4 Stage Discharge'!E$26:F$126,MATCH(C24,'Step 4 Stage Discharge'!E$26:E$126,1)+1,1)-INDEX('Step 4 Stage Discharge'!E$26:F$126,MATCH(C24,'Step 4 Stage Discharge'!E$26:E$126,1),1))</f>
        <v>0.11720681088484437</v>
      </c>
      <c r="E24" s="219">
        <f>INDEX('Step 4 Stage Discharge'!E$26:M$126,MATCH(C24,'Step 4 Stage Discharge'!E$26:E$126,1),9)+(INDEX('Step 4 Stage Discharge'!E$26:M$126,MATCH('Step 6 Quality Check'!C24,'Step 4 Stage Discharge'!E$26:E$126,1)+1,9)-INDEX('Step 4 Stage Discharge'!E$26:M$126,MATCH('Step 6 Quality Check'!C24,'Step 4 Stage Discharge'!E$26:E$126,1),9))*('Step 6 Quality Check'!C24-INDEX('Step 4 Stage Discharge'!E$26:M$126,MATCH('Step 6 Quality Check'!C24,'Step 4 Stage Discharge'!E$26:E$126,1),1))/(INDEX('Step 4 Stage Discharge'!E$26:M$126,MATCH('Step 6 Quality Check'!C24,'Step 4 Stage Discharge'!E$26:E$126,1)+1,1)-INDEX('Step 4 Stage Discharge'!E$26:M$126,MATCH('Step 6 Quality Check'!C24,'Step 4 Stage Discharge'!E$26:E$126,1),1))</f>
        <v>2.6738658223252922E-2</v>
      </c>
      <c r="F24" s="218">
        <f t="shared" si="0"/>
        <v>8.0215974669758765</v>
      </c>
      <c r="G24" s="218">
        <f t="shared" si="1"/>
        <v>38.800115066130743</v>
      </c>
      <c r="K24" s="207" t="s">
        <v>280</v>
      </c>
      <c r="L24" s="209" t="s">
        <v>281</v>
      </c>
      <c r="M24" s="86"/>
    </row>
    <row r="25" spans="1:13">
      <c r="A25" s="217">
        <f t="shared" si="2"/>
        <v>45</v>
      </c>
      <c r="B25" s="216">
        <f t="shared" si="3"/>
        <v>99.198218193261766</v>
      </c>
      <c r="C25" s="218">
        <f t="shared" si="4"/>
        <v>38.800115066130743</v>
      </c>
      <c r="D25" s="219">
        <f>INDEX('Step 4 Stage Discharge'!E$26:F$126,MATCH(C25,'Step 4 Stage Discharge'!E$26:E$126,1),2)+(INDEX('Step 4 Stage Discharge'!E$26:F$126,MATCH(C25,'Step 4 Stage Discharge'!E$26:E$126,1)+1,2)-INDEX('Step 4 Stage Discharge'!E$26:F$126,MATCH(C25,'Step 4 Stage Discharge'!E$26:E$126,1),2))*(C25-INDEX('Step 4 Stage Discharge'!E$26:F$126,MATCH(C25,'Step 4 Stage Discharge'!E$26:E$126,1),1))/(INDEX('Step 4 Stage Discharge'!E$26:F$126,MATCH(C25,'Step 4 Stage Discharge'!E$26:E$126,1)+1,1)-INDEX('Step 4 Stage Discharge'!E$26:F$126,MATCH(C25,'Step 4 Stage Discharge'!E$26:E$126,1),1))</f>
        <v>9.8218193261772835E-2</v>
      </c>
      <c r="E25" s="219">
        <f>INDEX('Step 4 Stage Discharge'!E$26:M$126,MATCH(C25,'Step 4 Stage Discharge'!E$26:E$126,1),9)+(INDEX('Step 4 Stage Discharge'!E$26:M$126,MATCH('Step 6 Quality Check'!C25,'Step 4 Stage Discharge'!E$26:E$126,1)+1,9)-INDEX('Step 4 Stage Discharge'!E$26:M$126,MATCH('Step 6 Quality Check'!C25,'Step 4 Stage Discharge'!E$26:E$126,1),9))*('Step 6 Quality Check'!C25-INDEX('Step 4 Stage Discharge'!E$26:M$126,MATCH('Step 6 Quality Check'!C25,'Step 4 Stage Discharge'!E$26:E$126,1),1))/(INDEX('Step 4 Stage Discharge'!E$26:M$126,MATCH('Step 6 Quality Check'!C25,'Step 4 Stage Discharge'!E$26:E$126,1)+1,1)-INDEX('Step 4 Stage Discharge'!E$26:M$126,MATCH('Step 6 Quality Check'!C25,'Step 4 Stage Discharge'!E$26:E$126,1),1))</f>
        <v>1.9180991664907662E-2</v>
      </c>
      <c r="F25" s="218">
        <f t="shared" si="0"/>
        <v>5.7542974994722984</v>
      </c>
      <c r="G25" s="218">
        <f t="shared" si="1"/>
        <v>33.045817566658442</v>
      </c>
      <c r="K25" s="210" t="s">
        <v>273</v>
      </c>
      <c r="L25" s="208" t="s">
        <v>275</v>
      </c>
      <c r="M25" s="69"/>
    </row>
    <row r="26" spans="1:13" ht="13.5">
      <c r="A26" s="217">
        <f t="shared" si="2"/>
        <v>50</v>
      </c>
      <c r="B26" s="216">
        <f t="shared" si="3"/>
        <v>99.183651826566063</v>
      </c>
      <c r="C26" s="218">
        <f t="shared" si="4"/>
        <v>33.045817566658442</v>
      </c>
      <c r="D26" s="219">
        <f>INDEX('Step 4 Stage Discharge'!E$26:F$126,MATCH(C26,'Step 4 Stage Discharge'!E$26:E$126,1),2)+(INDEX('Step 4 Stage Discharge'!E$26:F$126,MATCH(C26,'Step 4 Stage Discharge'!E$26:E$126,1)+1,2)-INDEX('Step 4 Stage Discharge'!E$26:F$126,MATCH(C26,'Step 4 Stage Discharge'!E$26:E$126,1),2))*(C26-INDEX('Step 4 Stage Discharge'!E$26:F$126,MATCH(C26,'Step 4 Stage Discharge'!E$26:E$126,1),1))/(INDEX('Step 4 Stage Discharge'!E$26:F$126,MATCH(C26,'Step 4 Stage Discharge'!E$26:E$126,1)+1,1)-INDEX('Step 4 Stage Discharge'!E$26:F$126,MATCH(C26,'Step 4 Stage Discharge'!E$26:E$126,1),1))</f>
        <v>8.3651826566065304E-2</v>
      </c>
      <c r="E26" s="219">
        <f>INDEX('Step 4 Stage Discharge'!E$26:M$126,MATCH(C26,'Step 4 Stage Discharge'!E$26:E$126,1),9)+(INDEX('Step 4 Stage Discharge'!E$26:M$126,MATCH('Step 6 Quality Check'!C26,'Step 4 Stage Discharge'!E$26:E$126,1)+1,9)-INDEX('Step 4 Stage Discharge'!E$26:M$126,MATCH('Step 6 Quality Check'!C26,'Step 4 Stage Discharge'!E$26:E$126,1),9))*('Step 6 Quality Check'!C26-INDEX('Step 4 Stage Discharge'!E$26:M$126,MATCH('Step 6 Quality Check'!C26,'Step 4 Stage Discharge'!E$26:E$126,1),1))/(INDEX('Step 4 Stage Discharge'!E$26:M$126,MATCH('Step 6 Quality Check'!C26,'Step 4 Stage Discharge'!E$26:E$126,1)+1,1)-INDEX('Step 4 Stage Discharge'!E$26:M$126,MATCH('Step 6 Quality Check'!C26,'Step 4 Stage Discharge'!E$26:E$126,1),1))</f>
        <v>1.698353155550978E-2</v>
      </c>
      <c r="F26" s="218">
        <f t="shared" si="0"/>
        <v>5.0950594666529341</v>
      </c>
      <c r="G26" s="218">
        <f t="shared" si="1"/>
        <v>27.950758100005508</v>
      </c>
      <c r="K26" s="207" t="s">
        <v>274</v>
      </c>
      <c r="L26" s="208" t="s">
        <v>282</v>
      </c>
      <c r="M26" s="69"/>
    </row>
    <row r="27" spans="1:13" ht="13.5">
      <c r="A27" s="217">
        <f t="shared" si="2"/>
        <v>55</v>
      </c>
      <c r="B27" s="216">
        <f t="shared" si="3"/>
        <v>99.170754247924265</v>
      </c>
      <c r="C27" s="218">
        <f t="shared" si="4"/>
        <v>27.950758100005508</v>
      </c>
      <c r="D27" s="219">
        <f>INDEX('Step 4 Stage Discharge'!E$26:F$126,MATCH(C27,'Step 4 Stage Discharge'!E$26:E$126,1),2)+(INDEX('Step 4 Stage Discharge'!E$26:F$126,MATCH(C27,'Step 4 Stage Discharge'!E$26:E$126,1)+1,2)-INDEX('Step 4 Stage Discharge'!E$26:F$126,MATCH(C27,'Step 4 Stage Discharge'!E$26:E$126,1),2))*(C27-INDEX('Step 4 Stage Discharge'!E$26:F$126,MATCH(C27,'Step 4 Stage Discharge'!E$26:E$126,1),1))/(INDEX('Step 4 Stage Discharge'!E$26:F$126,MATCH(C27,'Step 4 Stage Discharge'!E$26:E$126,1)+1,1)-INDEX('Step 4 Stage Discharge'!E$26:F$126,MATCH(C27,'Step 4 Stage Discharge'!E$26:E$126,1),1))</f>
        <v>7.0754247924274774E-2</v>
      </c>
      <c r="E27" s="219">
        <f>INDEX('Step 4 Stage Discharge'!E$26:M$126,MATCH(C27,'Step 4 Stage Discharge'!E$26:E$126,1),9)+(INDEX('Step 4 Stage Discharge'!E$26:M$126,MATCH('Step 6 Quality Check'!C27,'Step 4 Stage Discharge'!E$26:E$126,1)+1,9)-INDEX('Step 4 Stage Discharge'!E$26:M$126,MATCH('Step 6 Quality Check'!C27,'Step 4 Stage Discharge'!E$26:E$126,1),9))*('Step 6 Quality Check'!C27-INDEX('Step 4 Stage Discharge'!E$26:M$126,MATCH('Step 6 Quality Check'!C27,'Step 4 Stage Discharge'!E$26:E$126,1),1))/(INDEX('Step 4 Stage Discharge'!E$26:M$126,MATCH('Step 6 Quality Check'!C27,'Step 4 Stage Discharge'!E$26:E$126,1)+1,1)-INDEX('Step 4 Stage Discharge'!E$26:M$126,MATCH('Step 6 Quality Check'!C27,'Step 4 Stage Discharge'!E$26:E$126,1),1))</f>
        <v>1.5037822294908184E-2</v>
      </c>
      <c r="F27" s="218">
        <f t="shared" si="0"/>
        <v>4.5113466884724556</v>
      </c>
      <c r="G27" s="218">
        <f t="shared" si="1"/>
        <v>23.439411411533051</v>
      </c>
      <c r="K27" s="207" t="s">
        <v>283</v>
      </c>
      <c r="L27" s="208" t="s">
        <v>276</v>
      </c>
      <c r="M27" s="69"/>
    </row>
    <row r="28" spans="1:13" ht="13.5">
      <c r="A28" s="217">
        <f t="shared" si="2"/>
        <v>60</v>
      </c>
      <c r="B28" s="216">
        <f t="shared" si="3"/>
        <v>99.159334273520486</v>
      </c>
      <c r="C28" s="218">
        <f t="shared" si="4"/>
        <v>23.439411411533051</v>
      </c>
      <c r="D28" s="219">
        <f>INDEX('Step 4 Stage Discharge'!E$26:F$126,MATCH(C28,'Step 4 Stage Discharge'!E$26:E$126,1),2)+(INDEX('Step 4 Stage Discharge'!E$26:F$126,MATCH(C28,'Step 4 Stage Discharge'!E$26:E$126,1)+1,2)-INDEX('Step 4 Stage Discharge'!E$26:F$126,MATCH(C28,'Step 4 Stage Discharge'!E$26:E$126,1),2))*(C28-INDEX('Step 4 Stage Discharge'!E$26:F$126,MATCH(C28,'Step 4 Stage Discharge'!E$26:E$126,1),1))/(INDEX('Step 4 Stage Discharge'!E$26:F$126,MATCH(C28,'Step 4 Stage Discharge'!E$26:E$126,1)+1,1)-INDEX('Step 4 Stage Discharge'!E$26:F$126,MATCH(C28,'Step 4 Stage Discharge'!E$26:E$126,1),1))</f>
        <v>5.9334273520486654E-2</v>
      </c>
      <c r="E28" s="219">
        <f>INDEX('Step 4 Stage Discharge'!E$26:M$126,MATCH(C28,'Step 4 Stage Discharge'!E$26:E$126,1),9)+(INDEX('Step 4 Stage Discharge'!E$26:M$126,MATCH('Step 6 Quality Check'!C28,'Step 4 Stage Discharge'!E$26:E$126,1)+1,9)-INDEX('Step 4 Stage Discharge'!E$26:M$126,MATCH('Step 6 Quality Check'!C28,'Step 4 Stage Discharge'!E$26:E$126,1),9))*('Step 6 Quality Check'!C28-INDEX('Step 4 Stage Discharge'!E$26:M$126,MATCH('Step 6 Quality Check'!C28,'Step 4 Stage Discharge'!E$26:E$126,1),1))/(INDEX('Step 4 Stage Discharge'!E$26:M$126,MATCH('Step 6 Quality Check'!C28,'Step 4 Stage Discharge'!E$26:E$126,1)+1,1)-INDEX('Step 4 Stage Discharge'!E$26:M$126,MATCH('Step 6 Quality Check'!C28,'Step 4 Stage Discharge'!E$26:E$126,1),1))</f>
        <v>1.3315022180994784E-2</v>
      </c>
      <c r="F28" s="218">
        <f t="shared" si="0"/>
        <v>3.9945066542984353</v>
      </c>
      <c r="G28" s="218">
        <f t="shared" si="1"/>
        <v>19.444904757234617</v>
      </c>
      <c r="K28" s="207" t="s">
        <v>284</v>
      </c>
      <c r="L28" s="208" t="s">
        <v>277</v>
      </c>
      <c r="M28" s="69"/>
    </row>
    <row r="29" spans="1:13">
      <c r="A29" s="217">
        <f t="shared" si="2"/>
        <v>65</v>
      </c>
      <c r="B29" s="216">
        <f t="shared" si="3"/>
        <v>99.149222622410974</v>
      </c>
      <c r="C29" s="218">
        <f t="shared" si="4"/>
        <v>19.444904757234617</v>
      </c>
      <c r="D29" s="219">
        <f>INDEX('Step 4 Stage Discharge'!E$26:F$126,MATCH(C29,'Step 4 Stage Discharge'!E$26:E$126,1),2)+(INDEX('Step 4 Stage Discharge'!E$26:F$126,MATCH(C29,'Step 4 Stage Discharge'!E$26:E$126,1)+1,2)-INDEX('Step 4 Stage Discharge'!E$26:F$126,MATCH(C29,'Step 4 Stage Discharge'!E$26:E$126,1),2))*(C29-INDEX('Step 4 Stage Discharge'!E$26:F$126,MATCH(C29,'Step 4 Stage Discharge'!E$26:E$126,1),1))/(INDEX('Step 4 Stage Discharge'!E$26:F$126,MATCH(C29,'Step 4 Stage Discharge'!E$26:E$126,1)+1,1)-INDEX('Step 4 Stage Discharge'!E$26:F$126,MATCH(C29,'Step 4 Stage Discharge'!E$26:E$126,1),1))</f>
        <v>4.9222622410982728E-2</v>
      </c>
      <c r="E29" s="219">
        <f>INDEX('Step 4 Stage Discharge'!E$26:M$126,MATCH(C29,'Step 4 Stage Discharge'!E$26:E$126,1),9)+(INDEX('Step 4 Stage Discharge'!E$26:M$126,MATCH('Step 6 Quality Check'!C29,'Step 4 Stage Discharge'!E$26:E$126,1)+1,9)-INDEX('Step 4 Stage Discharge'!E$26:M$126,MATCH('Step 6 Quality Check'!C29,'Step 4 Stage Discharge'!E$26:E$126,1),9))*('Step 6 Quality Check'!C29-INDEX('Step 4 Stage Discharge'!E$26:M$126,MATCH('Step 6 Quality Check'!C29,'Step 4 Stage Discharge'!E$26:E$126,1),1))/(INDEX('Step 4 Stage Discharge'!E$26:M$126,MATCH('Step 6 Quality Check'!C29,'Step 4 Stage Discharge'!E$26:E$126,1)+1,1)-INDEX('Step 4 Stage Discharge'!E$26:M$126,MATCH('Step 6 Quality Check'!C29,'Step 4 Stage Discharge'!E$26:E$126,1),1))</f>
        <v>1.1789593745925142E-2</v>
      </c>
      <c r="F29" s="218">
        <f t="shared" si="0"/>
        <v>3.5368781237775426</v>
      </c>
      <c r="G29" s="218">
        <f t="shared" si="1"/>
        <v>15.908026633457075</v>
      </c>
    </row>
    <row r="30" spans="1:13">
      <c r="A30" s="217">
        <f t="shared" si="2"/>
        <v>70</v>
      </c>
      <c r="B30" s="216">
        <f t="shared" si="3"/>
        <v>99.140269407233333</v>
      </c>
      <c r="C30" s="218">
        <f t="shared" si="4"/>
        <v>15.908026633457075</v>
      </c>
      <c r="D30" s="219">
        <f>INDEX('Step 4 Stage Discharge'!E$26:F$126,MATCH(C30,'Step 4 Stage Discharge'!E$26:E$126,1),2)+(INDEX('Step 4 Stage Discharge'!E$26:F$126,MATCH(C30,'Step 4 Stage Discharge'!E$26:E$126,1)+1,2)-INDEX('Step 4 Stage Discharge'!E$26:F$126,MATCH(C30,'Step 4 Stage Discharge'!E$26:E$126,1),2))*(C30-INDEX('Step 4 Stage Discharge'!E$26:F$126,MATCH(C30,'Step 4 Stage Discharge'!E$26:E$126,1),1))/(INDEX('Step 4 Stage Discharge'!E$26:F$126,MATCH(C30,'Step 4 Stage Discharge'!E$26:E$126,1)+1,1)-INDEX('Step 4 Stage Discharge'!E$26:F$126,MATCH(C30,'Step 4 Stage Discharge'!E$26:E$126,1),1))</f>
        <v>4.0269407233336052E-2</v>
      </c>
      <c r="E30" s="219">
        <f>INDEX('Step 4 Stage Discharge'!E$26:M$126,MATCH(C30,'Step 4 Stage Discharge'!E$26:E$126,1),9)+(INDEX('Step 4 Stage Discharge'!E$26:M$126,MATCH('Step 6 Quality Check'!C30,'Step 4 Stage Discharge'!E$26:E$126,1)+1,9)-INDEX('Step 4 Stage Discharge'!E$26:M$126,MATCH('Step 6 Quality Check'!C30,'Step 4 Stage Discharge'!E$26:E$126,1),9))*('Step 6 Quality Check'!C30-INDEX('Step 4 Stage Discharge'!E$26:M$126,MATCH('Step 6 Quality Check'!C30,'Step 4 Stage Discharge'!E$26:E$126,1),1))/(INDEX('Step 4 Stage Discharge'!E$26:M$126,MATCH('Step 6 Quality Check'!C30,'Step 4 Stage Discharge'!E$26:E$126,1)+1,1)-INDEX('Step 4 Stage Discharge'!E$26:M$126,MATCH('Step 6 Quality Check'!C30,'Step 4 Stage Discharge'!E$26:E$126,1),1))</f>
        <v>1.043892520827725E-2</v>
      </c>
      <c r="F30" s="218">
        <f t="shared" si="0"/>
        <v>3.131677562483175</v>
      </c>
      <c r="G30" s="218">
        <f t="shared" si="1"/>
        <v>12.7763490709739</v>
      </c>
    </row>
    <row r="31" spans="1:13">
      <c r="A31" s="217">
        <f t="shared" si="2"/>
        <v>75</v>
      </c>
      <c r="B31" s="216">
        <f t="shared" si="3"/>
        <v>99.132341912391084</v>
      </c>
      <c r="C31" s="218">
        <f t="shared" si="4"/>
        <v>12.7763490709739</v>
      </c>
      <c r="D31" s="219">
        <f>INDEX('Step 4 Stage Discharge'!E$26:F$126,MATCH(C31,'Step 4 Stage Discharge'!E$26:E$126,1),2)+(INDEX('Step 4 Stage Discharge'!E$26:F$126,MATCH(C31,'Step 4 Stage Discharge'!E$26:E$126,1)+1,2)-INDEX('Step 4 Stage Discharge'!E$26:F$126,MATCH(C31,'Step 4 Stage Discharge'!E$26:E$126,1),2))*(C31-INDEX('Step 4 Stage Discharge'!E$26:F$126,MATCH(C31,'Step 4 Stage Discharge'!E$26:E$126,1),1))/(INDEX('Step 4 Stage Discharge'!E$26:F$126,MATCH(C31,'Step 4 Stage Discharge'!E$26:E$126,1)+1,1)-INDEX('Step 4 Stage Discharge'!E$26:F$126,MATCH(C31,'Step 4 Stage Discharge'!E$26:E$126,1),1))</f>
        <v>3.2341912391084193E-2</v>
      </c>
      <c r="E31" s="219">
        <f>INDEX('Step 4 Stage Discharge'!E$26:M$126,MATCH(C31,'Step 4 Stage Discharge'!E$26:E$126,1),9)+(INDEX('Step 4 Stage Discharge'!E$26:M$126,MATCH('Step 6 Quality Check'!C31,'Step 4 Stage Discharge'!E$26:E$126,1)+1,9)-INDEX('Step 4 Stage Discharge'!E$26:M$126,MATCH('Step 6 Quality Check'!C31,'Step 4 Stage Discharge'!E$26:E$126,1),9))*('Step 6 Quality Check'!C31-INDEX('Step 4 Stage Discharge'!E$26:M$126,MATCH('Step 6 Quality Check'!C31,'Step 4 Stage Discharge'!E$26:E$126,1),1))/(INDEX('Step 4 Stage Discharge'!E$26:M$126,MATCH('Step 6 Quality Check'!C31,'Step 4 Stage Discharge'!E$26:E$126,1)+1,1)-INDEX('Step 4 Stage Discharge'!E$26:M$126,MATCH('Step 6 Quality Check'!C31,'Step 4 Stage Discharge'!E$26:E$126,1),1))</f>
        <v>9.2429952933424982E-3</v>
      </c>
      <c r="F31" s="218">
        <f t="shared" si="0"/>
        <v>2.7728985880027497</v>
      </c>
      <c r="G31" s="218">
        <f t="shared" si="1"/>
        <v>10.00345048297115</v>
      </c>
    </row>
    <row r="32" spans="1:13">
      <c r="A32" s="217">
        <f t="shared" si="2"/>
        <v>80</v>
      </c>
      <c r="B32" s="216">
        <f t="shared" si="3"/>
        <v>99.125322626779493</v>
      </c>
      <c r="C32" s="218">
        <f t="shared" si="4"/>
        <v>10.00345048297115</v>
      </c>
      <c r="D32" s="219">
        <f>INDEX('Step 4 Stage Discharge'!E$26:F$126,MATCH(C32,'Step 4 Stage Discharge'!E$26:E$126,1),2)+(INDEX('Step 4 Stage Discharge'!E$26:F$126,MATCH(C32,'Step 4 Stage Discharge'!E$26:E$126,1)+1,2)-INDEX('Step 4 Stage Discharge'!E$26:F$126,MATCH(C32,'Step 4 Stage Discharge'!E$26:E$126,1),2))*(C32-INDEX('Step 4 Stage Discharge'!E$26:F$126,MATCH(C32,'Step 4 Stage Discharge'!E$26:E$126,1),1))/(INDEX('Step 4 Stage Discharge'!E$26:F$126,MATCH(C32,'Step 4 Stage Discharge'!E$26:E$126,1)+1,1)-INDEX('Step 4 Stage Discharge'!E$26:F$126,MATCH(C32,'Step 4 Stage Discharge'!E$26:E$126,1),1))</f>
        <v>2.5322626779493592E-2</v>
      </c>
      <c r="E32" s="219">
        <f>INDEX('Step 4 Stage Discharge'!E$26:M$126,MATCH(C32,'Step 4 Stage Discharge'!E$26:E$126,1),9)+(INDEX('Step 4 Stage Discharge'!E$26:M$126,MATCH('Step 6 Quality Check'!C32,'Step 4 Stage Discharge'!E$26:E$126,1)+1,9)-INDEX('Step 4 Stage Discharge'!E$26:M$126,MATCH('Step 6 Quality Check'!C32,'Step 4 Stage Discharge'!E$26:E$126,1),9))*('Step 6 Quality Check'!C32-INDEX('Step 4 Stage Discharge'!E$26:M$126,MATCH('Step 6 Quality Check'!C32,'Step 4 Stage Discharge'!E$26:E$126,1),1))/(INDEX('Step 4 Stage Discharge'!E$26:M$126,MATCH('Step 6 Quality Check'!C32,'Step 4 Stage Discharge'!E$26:E$126,1)+1,1)-INDEX('Step 4 Stage Discharge'!E$26:M$126,MATCH('Step 6 Quality Check'!C32,'Step 4 Stage Discharge'!E$26:E$126,1),1))</f>
        <v>8.184076453101697E-3</v>
      </c>
      <c r="F32" s="218">
        <f t="shared" si="0"/>
        <v>2.4552229359305091</v>
      </c>
      <c r="G32" s="218">
        <f t="shared" si="1"/>
        <v>7.548227547040641</v>
      </c>
    </row>
    <row r="33" spans="1:7">
      <c r="A33" s="217">
        <f t="shared" si="2"/>
        <v>85</v>
      </c>
      <c r="B33" s="216">
        <f t="shared" si="3"/>
        <v>99.119107501891051</v>
      </c>
      <c r="C33" s="218">
        <f t="shared" si="4"/>
        <v>7.548227547040641</v>
      </c>
      <c r="D33" s="219">
        <f>INDEX('Step 4 Stage Discharge'!E$26:F$126,MATCH(C33,'Step 4 Stage Discharge'!E$26:E$126,1),2)+(INDEX('Step 4 Stage Discharge'!E$26:F$126,MATCH(C33,'Step 4 Stage Discharge'!E$26:E$126,1)+1,2)-INDEX('Step 4 Stage Discharge'!E$26:F$126,MATCH(C33,'Step 4 Stage Discharge'!E$26:E$126,1),2))*(C33-INDEX('Step 4 Stage Discharge'!E$26:F$126,MATCH(C33,'Step 4 Stage Discharge'!E$26:E$126,1),1))/(INDEX('Step 4 Stage Discharge'!E$26:F$126,MATCH(C33,'Step 4 Stage Discharge'!E$26:E$126,1)+1,1)-INDEX('Step 4 Stage Discharge'!E$26:F$126,MATCH(C33,'Step 4 Stage Discharge'!E$26:E$126,1),1))</f>
        <v>1.9107501891050628E-2</v>
      </c>
      <c r="E33" s="219">
        <f>INDEX('Step 4 Stage Discharge'!E$26:M$126,MATCH(C33,'Step 4 Stage Discharge'!E$26:E$126,1),9)+(INDEX('Step 4 Stage Discharge'!E$26:M$126,MATCH('Step 6 Quality Check'!C33,'Step 4 Stage Discharge'!E$26:E$126,1)+1,9)-INDEX('Step 4 Stage Discharge'!E$26:M$126,MATCH('Step 6 Quality Check'!C33,'Step 4 Stage Discharge'!E$26:E$126,1),9))*('Step 6 Quality Check'!C33-INDEX('Step 4 Stage Discharge'!E$26:M$126,MATCH('Step 6 Quality Check'!C33,'Step 4 Stage Discharge'!E$26:E$126,1),1))/(INDEX('Step 4 Stage Discharge'!E$26:M$126,MATCH('Step 6 Quality Check'!C33,'Step 4 Stage Discharge'!E$26:E$126,1)+1,1)-INDEX('Step 4 Stage Discharge'!E$26:M$126,MATCH('Step 6 Quality Check'!C33,'Step 4 Stage Discharge'!E$26:E$126,1),1))</f>
        <v>7.2464720866467439E-3</v>
      </c>
      <c r="F33" s="218">
        <f t="shared" si="0"/>
        <v>2.173941625994023</v>
      </c>
      <c r="G33" s="218">
        <f t="shared" si="1"/>
        <v>5.3742859210466181</v>
      </c>
    </row>
    <row r="34" spans="1:7">
      <c r="A34" s="217">
        <f t="shared" si="2"/>
        <v>90</v>
      </c>
      <c r="B34" s="216">
        <f t="shared" si="3"/>
        <v>99.11360440948016</v>
      </c>
      <c r="C34" s="218">
        <f t="shared" si="4"/>
        <v>5.3742859210466181</v>
      </c>
      <c r="D34" s="219">
        <f>INDEX('Step 4 Stage Discharge'!E$26:F$126,MATCH(C34,'Step 4 Stage Discharge'!E$26:E$126,1),2)+(INDEX('Step 4 Stage Discharge'!E$26:F$126,MATCH(C34,'Step 4 Stage Discharge'!E$26:E$126,1)+1,2)-INDEX('Step 4 Stage Discharge'!E$26:F$126,MATCH(C34,'Step 4 Stage Discharge'!E$26:E$126,1),2))*(C34-INDEX('Step 4 Stage Discharge'!E$26:F$126,MATCH(C34,'Step 4 Stage Discharge'!E$26:E$126,1),1))/(INDEX('Step 4 Stage Discharge'!E$26:F$126,MATCH(C34,'Step 4 Stage Discharge'!E$26:E$126,1)+1,1)-INDEX('Step 4 Stage Discharge'!E$26:F$126,MATCH(C34,'Step 4 Stage Discharge'!E$26:E$126,1),1))</f>
        <v>1.3604409480170662E-2</v>
      </c>
      <c r="E34" s="219">
        <f>INDEX('Step 4 Stage Discharge'!E$26:M$126,MATCH(C34,'Step 4 Stage Discharge'!E$26:E$126,1),9)+(INDEX('Step 4 Stage Discharge'!E$26:M$126,MATCH('Step 6 Quality Check'!C34,'Step 4 Stage Discharge'!E$26:E$126,1)+1,9)-INDEX('Step 4 Stage Discharge'!E$26:M$126,MATCH('Step 6 Quality Check'!C34,'Step 4 Stage Discharge'!E$26:E$126,1),9))*('Step 6 Quality Check'!C34-INDEX('Step 4 Stage Discharge'!E$26:M$126,MATCH('Step 6 Quality Check'!C34,'Step 4 Stage Discharge'!E$26:E$126,1),1))/(INDEX('Step 4 Stage Discharge'!E$26:M$126,MATCH('Step 6 Quality Check'!C34,'Step 4 Stage Discharge'!E$26:E$126,1)+1,1)-INDEX('Step 4 Stage Discharge'!E$26:M$126,MATCH('Step 6 Quality Check'!C34,'Step 4 Stage Discharge'!E$26:E$126,1),1))</f>
        <v>6.4162838658049261E-3</v>
      </c>
      <c r="F34" s="218">
        <f t="shared" si="0"/>
        <v>1.924885159741478</v>
      </c>
      <c r="G34" s="218">
        <f t="shared" si="1"/>
        <v>3.4494007613051401</v>
      </c>
    </row>
    <row r="35" spans="1:7">
      <c r="A35" s="217">
        <f t="shared" si="2"/>
        <v>95</v>
      </c>
      <c r="B35" s="216">
        <f t="shared" si="3"/>
        <v>99.108731775924724</v>
      </c>
      <c r="C35" s="218">
        <f t="shared" si="4"/>
        <v>3.4494007613051401</v>
      </c>
      <c r="D35" s="219">
        <f>INDEX('Step 4 Stage Discharge'!E$26:F$126,MATCH(C35,'Step 4 Stage Discharge'!E$26:E$126,1),2)+(INDEX('Step 4 Stage Discharge'!E$26:F$126,MATCH(C35,'Step 4 Stage Discharge'!E$26:E$126,1)+1,2)-INDEX('Step 4 Stage Discharge'!E$26:F$126,MATCH(C35,'Step 4 Stage Discharge'!E$26:E$126,1),2))*(C35-INDEX('Step 4 Stage Discharge'!E$26:F$126,MATCH(C35,'Step 4 Stage Discharge'!E$26:E$126,1),1))/(INDEX('Step 4 Stage Discharge'!E$26:F$126,MATCH(C35,'Step 4 Stage Discharge'!E$26:E$126,1)+1,1)-INDEX('Step 4 Stage Discharge'!E$26:F$126,MATCH(C35,'Step 4 Stage Discharge'!E$26:E$126,1),1))</f>
        <v>8.731775924729495E-3</v>
      </c>
      <c r="E35" s="219">
        <f>INDEX('Step 4 Stage Discharge'!E$26:M$126,MATCH(C35,'Step 4 Stage Discharge'!E$26:E$126,1),9)+(INDEX('Step 4 Stage Discharge'!E$26:M$126,MATCH('Step 6 Quality Check'!C35,'Step 4 Stage Discharge'!E$26:E$126,1)+1,9)-INDEX('Step 4 Stage Discharge'!E$26:M$126,MATCH('Step 6 Quality Check'!C35,'Step 4 Stage Discharge'!E$26:E$126,1),9))*('Step 6 Quality Check'!C35-INDEX('Step 4 Stage Discharge'!E$26:M$126,MATCH('Step 6 Quality Check'!C35,'Step 4 Stage Discharge'!E$26:E$126,1),1))/(INDEX('Step 4 Stage Discharge'!E$26:M$126,MATCH('Step 6 Quality Check'!C35,'Step 4 Stage Discharge'!E$26:E$126,1)+1,1)-INDEX('Step 4 Stage Discharge'!E$26:M$126,MATCH('Step 6 Quality Check'!C35,'Step 4 Stage Discharge'!E$26:E$126,1),1))</f>
        <v>5.6812057169793274E-3</v>
      </c>
      <c r="F35" s="218">
        <f t="shared" si="0"/>
        <v>1.7043617150937982</v>
      </c>
      <c r="G35" s="218">
        <f t="shared" si="1"/>
        <v>1.7450390462113419</v>
      </c>
    </row>
    <row r="36" spans="1:7">
      <c r="A36" s="217">
        <f t="shared" si="2"/>
        <v>100</v>
      </c>
      <c r="B36" s="216">
        <f t="shared" si="3"/>
        <v>99.10441737304123</v>
      </c>
      <c r="C36" s="218">
        <f t="shared" si="4"/>
        <v>1.7450390462113419</v>
      </c>
      <c r="D36" s="219">
        <f>INDEX('Step 4 Stage Discharge'!E$26:F$126,MATCH(C36,'Step 4 Stage Discharge'!E$26:E$126,1),2)+(INDEX('Step 4 Stage Discharge'!E$26:F$126,MATCH(C36,'Step 4 Stage Discharge'!E$26:E$126,1)+1,2)-INDEX('Step 4 Stage Discharge'!E$26:F$126,MATCH(C36,'Step 4 Stage Discharge'!E$26:E$126,1),2))*(C36-INDEX('Step 4 Stage Discharge'!E$26:F$126,MATCH(C36,'Step 4 Stage Discharge'!E$26:E$126,1),1))/(INDEX('Step 4 Stage Discharge'!E$26:F$126,MATCH(C36,'Step 4 Stage Discharge'!E$26:E$126,1)+1,1)-INDEX('Step 4 Stage Discharge'!E$26:F$126,MATCH(C36,'Step 4 Stage Discharge'!E$26:E$126,1),1))</f>
        <v>4.4173730412397265E-3</v>
      </c>
      <c r="E36" s="219">
        <f>INDEX('Step 4 Stage Discharge'!E$26:M$126,MATCH(C36,'Step 4 Stage Discharge'!E$26:E$126,1),9)+(INDEX('Step 4 Stage Discharge'!E$26:M$126,MATCH('Step 6 Quality Check'!C36,'Step 4 Stage Discharge'!E$26:E$126,1)+1,9)-INDEX('Step 4 Stage Discharge'!E$26:M$126,MATCH('Step 6 Quality Check'!C36,'Step 4 Stage Discharge'!E$26:E$126,1),9))*('Step 6 Quality Check'!C36-INDEX('Step 4 Stage Discharge'!E$26:M$126,MATCH('Step 6 Quality Check'!C36,'Step 4 Stage Discharge'!E$26:E$126,1),1))/(INDEX('Step 4 Stage Discharge'!E$26:M$126,MATCH('Step 6 Quality Check'!C36,'Step 4 Stage Discharge'!E$26:E$126,1)+1,1)-INDEX('Step 4 Stage Discharge'!E$26:M$126,MATCH('Step 6 Quality Check'!C36,'Step 4 Stage Discharge'!E$26:E$126,1),1))</f>
        <v>5.030341405350143E-3</v>
      </c>
      <c r="F36" s="218">
        <f t="shared" si="0"/>
        <v>1.509102421605043</v>
      </c>
      <c r="G36" s="218">
        <f t="shared" si="1"/>
        <v>0.23593662460629883</v>
      </c>
    </row>
    <row r="37" spans="1:7">
      <c r="A37" s="217">
        <f t="shared" si="2"/>
        <v>105</v>
      </c>
      <c r="B37" s="216">
        <f t="shared" si="3"/>
        <v>99.100597247429633</v>
      </c>
      <c r="C37" s="218">
        <f t="shared" si="4"/>
        <v>0.23593662460629883</v>
      </c>
      <c r="D37" s="219">
        <f>INDEX('Step 4 Stage Discharge'!E$26:F$126,MATCH(C37,'Step 4 Stage Discharge'!E$26:E$126,1),2)+(INDEX('Step 4 Stage Discharge'!E$26:F$126,MATCH(C37,'Step 4 Stage Discharge'!E$26:E$126,1)+1,2)-INDEX('Step 4 Stage Discharge'!E$26:F$126,MATCH(C37,'Step 4 Stage Discharge'!E$26:E$126,1),2))*(C37-INDEX('Step 4 Stage Discharge'!E$26:F$126,MATCH(C37,'Step 4 Stage Discharge'!E$26:E$126,1),1))/(INDEX('Step 4 Stage Discharge'!E$26:F$126,MATCH(C37,'Step 4 Stage Discharge'!E$26:E$126,1)+1,1)-INDEX('Step 4 Stage Discharge'!E$26:F$126,MATCH(C37,'Step 4 Stage Discharge'!E$26:E$126,1),1))</f>
        <v>5.9724742964332425E-4</v>
      </c>
      <c r="E37" s="219">
        <f>INDEX('Step 4 Stage Discharge'!E$26:M$126,MATCH(C37,'Step 4 Stage Discharge'!E$26:E$126,1),9)+(INDEX('Step 4 Stage Discharge'!E$26:M$126,MATCH('Step 6 Quality Check'!C37,'Step 4 Stage Discharge'!E$26:E$126,1)+1,9)-INDEX('Step 4 Stage Discharge'!E$26:M$126,MATCH('Step 6 Quality Check'!C37,'Step 4 Stage Discharge'!E$26:E$126,1),9))*('Step 6 Quality Check'!C37-INDEX('Step 4 Stage Discharge'!E$26:M$126,MATCH('Step 6 Quality Check'!C37,'Step 4 Stage Discharge'!E$26:E$126,1),1))/(INDEX('Step 4 Stage Discharge'!E$26:M$126,MATCH('Step 6 Quality Check'!C37,'Step 4 Stage Discharge'!E$26:E$126,1)+1,1)-INDEX('Step 4 Stage Discharge'!E$26:M$126,MATCH('Step 6 Quality Check'!C37,'Step 4 Stage Discharge'!E$26:E$126,1),1))</f>
        <v>4.45404301744494E-3</v>
      </c>
      <c r="F37" s="218">
        <f t="shared" si="0"/>
        <v>0.23593662460629883</v>
      </c>
      <c r="G37" s="218">
        <f t="shared" si="1"/>
        <v>0</v>
      </c>
    </row>
    <row r="38" spans="1:7">
      <c r="A38" s="217">
        <f t="shared" si="2"/>
        <v>110</v>
      </c>
      <c r="B38" s="216">
        <f t="shared" si="3"/>
        <v>99.1</v>
      </c>
      <c r="C38" s="218">
        <f t="shared" si="4"/>
        <v>0</v>
      </c>
      <c r="D38" s="219">
        <f>INDEX('Step 4 Stage Discharge'!E$26:F$126,MATCH(C38,'Step 4 Stage Discharge'!E$26:E$126,1),2)+(INDEX('Step 4 Stage Discharge'!E$26:F$126,MATCH(C38,'Step 4 Stage Discharge'!E$26:E$126,1)+1,2)-INDEX('Step 4 Stage Discharge'!E$26:F$126,MATCH(C38,'Step 4 Stage Discharge'!E$26:E$126,1),2))*(C38-INDEX('Step 4 Stage Discharge'!E$26:F$126,MATCH(C38,'Step 4 Stage Discharge'!E$26:E$126,1),1))/(INDEX('Step 4 Stage Discharge'!E$26:F$126,MATCH(C38,'Step 4 Stage Discharge'!E$26:E$126,1)+1,1)-INDEX('Step 4 Stage Discharge'!E$26:F$126,MATCH(C38,'Step 4 Stage Discharge'!E$26:E$126,1),1))</f>
        <v>0</v>
      </c>
      <c r="E38" s="219">
        <f>INDEX('Step 4 Stage Discharge'!E$26:M$126,MATCH(C38,'Step 4 Stage Discharge'!E$26:E$126,1),9)+(INDEX('Step 4 Stage Discharge'!E$26:M$126,MATCH('Step 6 Quality Check'!C38,'Step 4 Stage Discharge'!E$26:E$126,1)+1,9)-INDEX('Step 4 Stage Discharge'!E$26:M$126,MATCH('Step 6 Quality Check'!C38,'Step 4 Stage Discharge'!E$26:E$126,1),9))*('Step 6 Quality Check'!C38-INDEX('Step 4 Stage Discharge'!E$26:M$126,MATCH('Step 6 Quality Check'!C38,'Step 4 Stage Discharge'!E$26:E$126,1),1))/(INDEX('Step 4 Stage Discharge'!E$26:M$126,MATCH('Step 6 Quality Check'!C38,'Step 4 Stage Discharge'!E$26:E$126,1)+1,1)-INDEX('Step 4 Stage Discharge'!E$26:M$126,MATCH('Step 6 Quality Check'!C38,'Step 4 Stage Discharge'!E$26:E$126,1),1))</f>
        <v>4.3639431710317386E-3</v>
      </c>
      <c r="F38" s="218">
        <f t="shared" si="0"/>
        <v>0</v>
      </c>
      <c r="G38" s="218">
        <f t="shared" si="1"/>
        <v>0</v>
      </c>
    </row>
    <row r="39" spans="1:7">
      <c r="A39" s="217">
        <f t="shared" si="2"/>
        <v>115</v>
      </c>
      <c r="B39" s="216">
        <f t="shared" si="3"/>
        <v>99.1</v>
      </c>
      <c r="C39" s="218">
        <f t="shared" si="4"/>
        <v>0</v>
      </c>
      <c r="D39" s="219">
        <f>INDEX('Step 4 Stage Discharge'!E$26:F$126,MATCH(C39,'Step 4 Stage Discharge'!E$26:E$126,1),2)+(INDEX('Step 4 Stage Discharge'!E$26:F$126,MATCH(C39,'Step 4 Stage Discharge'!E$26:E$126,1)+1,2)-INDEX('Step 4 Stage Discharge'!E$26:F$126,MATCH(C39,'Step 4 Stage Discharge'!E$26:E$126,1),2))*(C39-INDEX('Step 4 Stage Discharge'!E$26:F$126,MATCH(C39,'Step 4 Stage Discharge'!E$26:E$126,1),1))/(INDEX('Step 4 Stage Discharge'!E$26:F$126,MATCH(C39,'Step 4 Stage Discharge'!E$26:E$126,1)+1,1)-INDEX('Step 4 Stage Discharge'!E$26:F$126,MATCH(C39,'Step 4 Stage Discharge'!E$26:E$126,1),1))</f>
        <v>0</v>
      </c>
      <c r="E39" s="219">
        <f>INDEX('Step 4 Stage Discharge'!E$26:M$126,MATCH(C39,'Step 4 Stage Discharge'!E$26:E$126,1),9)+(INDEX('Step 4 Stage Discharge'!E$26:M$126,MATCH('Step 6 Quality Check'!C39,'Step 4 Stage Discharge'!E$26:E$126,1)+1,9)-INDEX('Step 4 Stage Discharge'!E$26:M$126,MATCH('Step 6 Quality Check'!C39,'Step 4 Stage Discharge'!E$26:E$126,1),9))*('Step 6 Quality Check'!C39-INDEX('Step 4 Stage Discharge'!E$26:M$126,MATCH('Step 6 Quality Check'!C39,'Step 4 Stage Discharge'!E$26:E$126,1),1))/(INDEX('Step 4 Stage Discharge'!E$26:M$126,MATCH('Step 6 Quality Check'!C39,'Step 4 Stage Discharge'!E$26:E$126,1)+1,1)-INDEX('Step 4 Stage Discharge'!E$26:M$126,MATCH('Step 6 Quality Check'!C39,'Step 4 Stage Discharge'!E$26:E$126,1),1))</f>
        <v>4.3639431710317386E-3</v>
      </c>
      <c r="F39" s="218">
        <f t="shared" si="0"/>
        <v>0</v>
      </c>
      <c r="G39" s="218">
        <f t="shared" si="1"/>
        <v>0</v>
      </c>
    </row>
    <row r="40" spans="1:7">
      <c r="A40" s="217">
        <f t="shared" si="2"/>
        <v>120</v>
      </c>
      <c r="B40" s="216">
        <f t="shared" si="3"/>
        <v>99.1</v>
      </c>
      <c r="C40" s="218">
        <f t="shared" si="4"/>
        <v>0</v>
      </c>
      <c r="D40" s="219">
        <f>INDEX('Step 4 Stage Discharge'!E$26:F$126,MATCH(C40,'Step 4 Stage Discharge'!E$26:E$126,1),2)+(INDEX('Step 4 Stage Discharge'!E$26:F$126,MATCH(C40,'Step 4 Stage Discharge'!E$26:E$126,1)+1,2)-INDEX('Step 4 Stage Discharge'!E$26:F$126,MATCH(C40,'Step 4 Stage Discharge'!E$26:E$126,1),2))*(C40-INDEX('Step 4 Stage Discharge'!E$26:F$126,MATCH(C40,'Step 4 Stage Discharge'!E$26:E$126,1),1))/(INDEX('Step 4 Stage Discharge'!E$26:F$126,MATCH(C40,'Step 4 Stage Discharge'!E$26:E$126,1)+1,1)-INDEX('Step 4 Stage Discharge'!E$26:F$126,MATCH(C40,'Step 4 Stage Discharge'!E$26:E$126,1),1))</f>
        <v>0</v>
      </c>
      <c r="E40" s="219">
        <f>INDEX('Step 4 Stage Discharge'!E$26:M$126,MATCH(C40,'Step 4 Stage Discharge'!E$26:E$126,1),9)+(INDEX('Step 4 Stage Discharge'!E$26:M$126,MATCH('Step 6 Quality Check'!C40,'Step 4 Stage Discharge'!E$26:E$126,1)+1,9)-INDEX('Step 4 Stage Discharge'!E$26:M$126,MATCH('Step 6 Quality Check'!C40,'Step 4 Stage Discharge'!E$26:E$126,1),9))*('Step 6 Quality Check'!C40-INDEX('Step 4 Stage Discharge'!E$26:M$126,MATCH('Step 6 Quality Check'!C40,'Step 4 Stage Discharge'!E$26:E$126,1),1))/(INDEX('Step 4 Stage Discharge'!E$26:M$126,MATCH('Step 6 Quality Check'!C40,'Step 4 Stage Discharge'!E$26:E$126,1)+1,1)-INDEX('Step 4 Stage Discharge'!E$26:M$126,MATCH('Step 6 Quality Check'!C40,'Step 4 Stage Discharge'!E$26:E$126,1),1))</f>
        <v>4.3639431710317386E-3</v>
      </c>
      <c r="F40" s="218">
        <f t="shared" si="0"/>
        <v>0</v>
      </c>
      <c r="G40" s="218">
        <f t="shared" si="1"/>
        <v>0</v>
      </c>
    </row>
    <row r="41" spans="1:7">
      <c r="A41" s="217">
        <f t="shared" si="2"/>
        <v>125</v>
      </c>
      <c r="B41" s="216">
        <f t="shared" si="3"/>
        <v>99.1</v>
      </c>
      <c r="C41" s="218">
        <f t="shared" si="4"/>
        <v>0</v>
      </c>
      <c r="D41" s="219">
        <f>INDEX('Step 4 Stage Discharge'!E$26:F$126,MATCH(C41,'Step 4 Stage Discharge'!E$26:E$126,1),2)+(INDEX('Step 4 Stage Discharge'!E$26:F$126,MATCH(C41,'Step 4 Stage Discharge'!E$26:E$126,1)+1,2)-INDEX('Step 4 Stage Discharge'!E$26:F$126,MATCH(C41,'Step 4 Stage Discharge'!E$26:E$126,1),2))*(C41-INDEX('Step 4 Stage Discharge'!E$26:F$126,MATCH(C41,'Step 4 Stage Discharge'!E$26:E$126,1),1))/(INDEX('Step 4 Stage Discharge'!E$26:F$126,MATCH(C41,'Step 4 Stage Discharge'!E$26:E$126,1)+1,1)-INDEX('Step 4 Stage Discharge'!E$26:F$126,MATCH(C41,'Step 4 Stage Discharge'!E$26:E$126,1),1))</f>
        <v>0</v>
      </c>
      <c r="E41" s="219">
        <f>INDEX('Step 4 Stage Discharge'!E$26:M$126,MATCH(C41,'Step 4 Stage Discharge'!E$26:E$126,1),9)+(INDEX('Step 4 Stage Discharge'!E$26:M$126,MATCH('Step 6 Quality Check'!C41,'Step 4 Stage Discharge'!E$26:E$126,1)+1,9)-INDEX('Step 4 Stage Discharge'!E$26:M$126,MATCH('Step 6 Quality Check'!C41,'Step 4 Stage Discharge'!E$26:E$126,1),9))*('Step 6 Quality Check'!C41-INDEX('Step 4 Stage Discharge'!E$26:M$126,MATCH('Step 6 Quality Check'!C41,'Step 4 Stage Discharge'!E$26:E$126,1),1))/(INDEX('Step 4 Stage Discharge'!E$26:M$126,MATCH('Step 6 Quality Check'!C41,'Step 4 Stage Discharge'!E$26:E$126,1)+1,1)-INDEX('Step 4 Stage Discharge'!E$26:M$126,MATCH('Step 6 Quality Check'!C41,'Step 4 Stage Discharge'!E$26:E$126,1),1))</f>
        <v>4.3639431710317386E-3</v>
      </c>
      <c r="F41" s="218">
        <f t="shared" si="0"/>
        <v>0</v>
      </c>
      <c r="G41" s="218">
        <f t="shared" si="1"/>
        <v>0</v>
      </c>
    </row>
    <row r="42" spans="1:7">
      <c r="A42" s="217">
        <f t="shared" si="2"/>
        <v>130</v>
      </c>
      <c r="B42" s="216">
        <f t="shared" si="3"/>
        <v>99.1</v>
      </c>
      <c r="C42" s="218">
        <f t="shared" si="4"/>
        <v>0</v>
      </c>
      <c r="D42" s="219">
        <f>INDEX('Step 4 Stage Discharge'!E$26:F$126,MATCH(C42,'Step 4 Stage Discharge'!E$26:E$126,1),2)+(INDEX('Step 4 Stage Discharge'!E$26:F$126,MATCH(C42,'Step 4 Stage Discharge'!E$26:E$126,1)+1,2)-INDEX('Step 4 Stage Discharge'!E$26:F$126,MATCH(C42,'Step 4 Stage Discharge'!E$26:E$126,1),2))*(C42-INDEX('Step 4 Stage Discharge'!E$26:F$126,MATCH(C42,'Step 4 Stage Discharge'!E$26:E$126,1),1))/(INDEX('Step 4 Stage Discharge'!E$26:F$126,MATCH(C42,'Step 4 Stage Discharge'!E$26:E$126,1)+1,1)-INDEX('Step 4 Stage Discharge'!E$26:F$126,MATCH(C42,'Step 4 Stage Discharge'!E$26:E$126,1),1))</f>
        <v>0</v>
      </c>
      <c r="E42" s="219">
        <f>INDEX('Step 4 Stage Discharge'!E$26:M$126,MATCH(C42,'Step 4 Stage Discharge'!E$26:E$126,1),9)+(INDEX('Step 4 Stage Discharge'!E$26:M$126,MATCH('Step 6 Quality Check'!C42,'Step 4 Stage Discharge'!E$26:E$126,1)+1,9)-INDEX('Step 4 Stage Discharge'!E$26:M$126,MATCH('Step 6 Quality Check'!C42,'Step 4 Stage Discharge'!E$26:E$126,1),9))*('Step 6 Quality Check'!C42-INDEX('Step 4 Stage Discharge'!E$26:M$126,MATCH('Step 6 Quality Check'!C42,'Step 4 Stage Discharge'!E$26:E$126,1),1))/(INDEX('Step 4 Stage Discharge'!E$26:M$126,MATCH('Step 6 Quality Check'!C42,'Step 4 Stage Discharge'!E$26:E$126,1)+1,1)-INDEX('Step 4 Stage Discharge'!E$26:M$126,MATCH('Step 6 Quality Check'!C42,'Step 4 Stage Discharge'!E$26:E$126,1),1))</f>
        <v>4.3639431710317386E-3</v>
      </c>
      <c r="F42" s="218">
        <f t="shared" si="0"/>
        <v>0</v>
      </c>
      <c r="G42" s="218">
        <f t="shared" si="1"/>
        <v>0</v>
      </c>
    </row>
    <row r="43" spans="1:7">
      <c r="A43" s="217">
        <f t="shared" si="2"/>
        <v>135</v>
      </c>
      <c r="B43" s="216">
        <f t="shared" si="3"/>
        <v>99.1</v>
      </c>
      <c r="C43" s="218">
        <f t="shared" si="4"/>
        <v>0</v>
      </c>
      <c r="D43" s="219">
        <f>INDEX('Step 4 Stage Discharge'!E$26:F$126,MATCH(C43,'Step 4 Stage Discharge'!E$26:E$126,1),2)+(INDEX('Step 4 Stage Discharge'!E$26:F$126,MATCH(C43,'Step 4 Stage Discharge'!E$26:E$126,1)+1,2)-INDEX('Step 4 Stage Discharge'!E$26:F$126,MATCH(C43,'Step 4 Stage Discharge'!E$26:E$126,1),2))*(C43-INDEX('Step 4 Stage Discharge'!E$26:F$126,MATCH(C43,'Step 4 Stage Discharge'!E$26:E$126,1),1))/(INDEX('Step 4 Stage Discharge'!E$26:F$126,MATCH(C43,'Step 4 Stage Discharge'!E$26:E$126,1)+1,1)-INDEX('Step 4 Stage Discharge'!E$26:F$126,MATCH(C43,'Step 4 Stage Discharge'!E$26:E$126,1),1))</f>
        <v>0</v>
      </c>
      <c r="E43" s="219">
        <f>INDEX('Step 4 Stage Discharge'!E$26:M$126,MATCH(C43,'Step 4 Stage Discharge'!E$26:E$126,1),9)+(INDEX('Step 4 Stage Discharge'!E$26:M$126,MATCH('Step 6 Quality Check'!C43,'Step 4 Stage Discharge'!E$26:E$126,1)+1,9)-INDEX('Step 4 Stage Discharge'!E$26:M$126,MATCH('Step 6 Quality Check'!C43,'Step 4 Stage Discharge'!E$26:E$126,1),9))*('Step 6 Quality Check'!C43-INDEX('Step 4 Stage Discharge'!E$26:M$126,MATCH('Step 6 Quality Check'!C43,'Step 4 Stage Discharge'!E$26:E$126,1),1))/(INDEX('Step 4 Stage Discharge'!E$26:M$126,MATCH('Step 6 Quality Check'!C43,'Step 4 Stage Discharge'!E$26:E$126,1)+1,1)-INDEX('Step 4 Stage Discharge'!E$26:M$126,MATCH('Step 6 Quality Check'!C43,'Step 4 Stage Discharge'!E$26:E$126,1),1))</f>
        <v>4.3639431710317386E-3</v>
      </c>
      <c r="F43" s="218">
        <f t="shared" si="0"/>
        <v>0</v>
      </c>
      <c r="G43" s="218">
        <f t="shared" si="1"/>
        <v>0</v>
      </c>
    </row>
    <row r="44" spans="1:7">
      <c r="A44" s="217">
        <f t="shared" si="2"/>
        <v>140</v>
      </c>
      <c r="B44" s="216">
        <f t="shared" si="3"/>
        <v>99.1</v>
      </c>
      <c r="C44" s="218">
        <f t="shared" si="4"/>
        <v>0</v>
      </c>
      <c r="D44" s="219">
        <f>INDEX('Step 4 Stage Discharge'!E$26:F$126,MATCH(C44,'Step 4 Stage Discharge'!E$26:E$126,1),2)+(INDEX('Step 4 Stage Discharge'!E$26:F$126,MATCH(C44,'Step 4 Stage Discharge'!E$26:E$126,1)+1,2)-INDEX('Step 4 Stage Discharge'!E$26:F$126,MATCH(C44,'Step 4 Stage Discharge'!E$26:E$126,1),2))*(C44-INDEX('Step 4 Stage Discharge'!E$26:F$126,MATCH(C44,'Step 4 Stage Discharge'!E$26:E$126,1),1))/(INDEX('Step 4 Stage Discharge'!E$26:F$126,MATCH(C44,'Step 4 Stage Discharge'!E$26:E$126,1)+1,1)-INDEX('Step 4 Stage Discharge'!E$26:F$126,MATCH(C44,'Step 4 Stage Discharge'!E$26:E$126,1),1))</f>
        <v>0</v>
      </c>
      <c r="E44" s="219">
        <f>INDEX('Step 4 Stage Discharge'!E$26:M$126,MATCH(C44,'Step 4 Stage Discharge'!E$26:E$126,1),9)+(INDEX('Step 4 Stage Discharge'!E$26:M$126,MATCH('Step 6 Quality Check'!C44,'Step 4 Stage Discharge'!E$26:E$126,1)+1,9)-INDEX('Step 4 Stage Discharge'!E$26:M$126,MATCH('Step 6 Quality Check'!C44,'Step 4 Stage Discharge'!E$26:E$126,1),9))*('Step 6 Quality Check'!C44-INDEX('Step 4 Stage Discharge'!E$26:M$126,MATCH('Step 6 Quality Check'!C44,'Step 4 Stage Discharge'!E$26:E$126,1),1))/(INDEX('Step 4 Stage Discharge'!E$26:M$126,MATCH('Step 6 Quality Check'!C44,'Step 4 Stage Discharge'!E$26:E$126,1)+1,1)-INDEX('Step 4 Stage Discharge'!E$26:M$126,MATCH('Step 6 Quality Check'!C44,'Step 4 Stage Discharge'!E$26:E$126,1),1))</f>
        <v>4.3639431710317386E-3</v>
      </c>
      <c r="F44" s="218">
        <f t="shared" si="0"/>
        <v>0</v>
      </c>
      <c r="G44" s="218">
        <f t="shared" si="1"/>
        <v>0</v>
      </c>
    </row>
    <row r="45" spans="1:7">
      <c r="A45" s="217">
        <f t="shared" si="2"/>
        <v>145</v>
      </c>
      <c r="B45" s="216">
        <f t="shared" si="3"/>
        <v>99.1</v>
      </c>
      <c r="C45" s="218">
        <f t="shared" si="4"/>
        <v>0</v>
      </c>
      <c r="D45" s="219">
        <f>INDEX('Step 4 Stage Discharge'!E$26:F$126,MATCH(C45,'Step 4 Stage Discharge'!E$26:E$126,1),2)+(INDEX('Step 4 Stage Discharge'!E$26:F$126,MATCH(C45,'Step 4 Stage Discharge'!E$26:E$126,1)+1,2)-INDEX('Step 4 Stage Discharge'!E$26:F$126,MATCH(C45,'Step 4 Stage Discharge'!E$26:E$126,1),2))*(C45-INDEX('Step 4 Stage Discharge'!E$26:F$126,MATCH(C45,'Step 4 Stage Discharge'!E$26:E$126,1),1))/(INDEX('Step 4 Stage Discharge'!E$26:F$126,MATCH(C45,'Step 4 Stage Discharge'!E$26:E$126,1)+1,1)-INDEX('Step 4 Stage Discharge'!E$26:F$126,MATCH(C45,'Step 4 Stage Discharge'!E$26:E$126,1),1))</f>
        <v>0</v>
      </c>
      <c r="E45" s="219">
        <f>INDEX('Step 4 Stage Discharge'!E$26:M$126,MATCH(C45,'Step 4 Stage Discharge'!E$26:E$126,1),9)+(INDEX('Step 4 Stage Discharge'!E$26:M$126,MATCH('Step 6 Quality Check'!C45,'Step 4 Stage Discharge'!E$26:E$126,1)+1,9)-INDEX('Step 4 Stage Discharge'!E$26:M$126,MATCH('Step 6 Quality Check'!C45,'Step 4 Stage Discharge'!E$26:E$126,1),9))*('Step 6 Quality Check'!C45-INDEX('Step 4 Stage Discharge'!E$26:M$126,MATCH('Step 6 Quality Check'!C45,'Step 4 Stage Discharge'!E$26:E$126,1),1))/(INDEX('Step 4 Stage Discharge'!E$26:M$126,MATCH('Step 6 Quality Check'!C45,'Step 4 Stage Discharge'!E$26:E$126,1)+1,1)-INDEX('Step 4 Stage Discharge'!E$26:M$126,MATCH('Step 6 Quality Check'!C45,'Step 4 Stage Discharge'!E$26:E$126,1),1))</f>
        <v>4.3639431710317386E-3</v>
      </c>
      <c r="F45" s="218">
        <f t="shared" si="0"/>
        <v>0</v>
      </c>
      <c r="G45" s="218">
        <f t="shared" si="1"/>
        <v>0</v>
      </c>
    </row>
    <row r="46" spans="1:7">
      <c r="A46" s="217">
        <f t="shared" si="2"/>
        <v>150</v>
      </c>
      <c r="B46" s="216">
        <f t="shared" si="3"/>
        <v>99.1</v>
      </c>
      <c r="C46" s="218">
        <f t="shared" si="4"/>
        <v>0</v>
      </c>
      <c r="D46" s="219">
        <f>INDEX('Step 4 Stage Discharge'!E$26:F$126,MATCH(C46,'Step 4 Stage Discharge'!E$26:E$126,1),2)+(INDEX('Step 4 Stage Discharge'!E$26:F$126,MATCH(C46,'Step 4 Stage Discharge'!E$26:E$126,1)+1,2)-INDEX('Step 4 Stage Discharge'!E$26:F$126,MATCH(C46,'Step 4 Stage Discharge'!E$26:E$126,1),2))*(C46-INDEX('Step 4 Stage Discharge'!E$26:F$126,MATCH(C46,'Step 4 Stage Discharge'!E$26:E$126,1),1))/(INDEX('Step 4 Stage Discharge'!E$26:F$126,MATCH(C46,'Step 4 Stage Discharge'!E$26:E$126,1)+1,1)-INDEX('Step 4 Stage Discharge'!E$26:F$126,MATCH(C46,'Step 4 Stage Discharge'!E$26:E$126,1),1))</f>
        <v>0</v>
      </c>
      <c r="E46" s="219">
        <f>INDEX('Step 4 Stage Discharge'!E$26:M$126,MATCH(C46,'Step 4 Stage Discharge'!E$26:E$126,1),9)+(INDEX('Step 4 Stage Discharge'!E$26:M$126,MATCH('Step 6 Quality Check'!C46,'Step 4 Stage Discharge'!E$26:E$126,1)+1,9)-INDEX('Step 4 Stage Discharge'!E$26:M$126,MATCH('Step 6 Quality Check'!C46,'Step 4 Stage Discharge'!E$26:E$126,1),9))*('Step 6 Quality Check'!C46-INDEX('Step 4 Stage Discharge'!E$26:M$126,MATCH('Step 6 Quality Check'!C46,'Step 4 Stage Discharge'!E$26:E$126,1),1))/(INDEX('Step 4 Stage Discharge'!E$26:M$126,MATCH('Step 6 Quality Check'!C46,'Step 4 Stage Discharge'!E$26:E$126,1)+1,1)-INDEX('Step 4 Stage Discharge'!E$26:M$126,MATCH('Step 6 Quality Check'!C46,'Step 4 Stage Discharge'!E$26:E$126,1),1))</f>
        <v>4.3639431710317386E-3</v>
      </c>
      <c r="F46" s="218">
        <f t="shared" si="0"/>
        <v>0</v>
      </c>
      <c r="G46" s="218">
        <f t="shared" si="1"/>
        <v>0</v>
      </c>
    </row>
    <row r="47" spans="1:7">
      <c r="A47" s="217">
        <f t="shared" si="2"/>
        <v>155</v>
      </c>
      <c r="B47" s="216">
        <f t="shared" si="3"/>
        <v>99.1</v>
      </c>
      <c r="C47" s="218">
        <f t="shared" si="4"/>
        <v>0</v>
      </c>
      <c r="D47" s="219">
        <f>INDEX('Step 4 Stage Discharge'!E$26:F$126,MATCH(C47,'Step 4 Stage Discharge'!E$26:E$126,1),2)+(INDEX('Step 4 Stage Discharge'!E$26:F$126,MATCH(C47,'Step 4 Stage Discharge'!E$26:E$126,1)+1,2)-INDEX('Step 4 Stage Discharge'!E$26:F$126,MATCH(C47,'Step 4 Stage Discharge'!E$26:E$126,1),2))*(C47-INDEX('Step 4 Stage Discharge'!E$26:F$126,MATCH(C47,'Step 4 Stage Discharge'!E$26:E$126,1),1))/(INDEX('Step 4 Stage Discharge'!E$26:F$126,MATCH(C47,'Step 4 Stage Discharge'!E$26:E$126,1)+1,1)-INDEX('Step 4 Stage Discharge'!E$26:F$126,MATCH(C47,'Step 4 Stage Discharge'!E$26:E$126,1),1))</f>
        <v>0</v>
      </c>
      <c r="E47" s="219">
        <f>INDEX('Step 4 Stage Discharge'!E$26:M$126,MATCH(C47,'Step 4 Stage Discharge'!E$26:E$126,1),9)+(INDEX('Step 4 Stage Discharge'!E$26:M$126,MATCH('Step 6 Quality Check'!C47,'Step 4 Stage Discharge'!E$26:E$126,1)+1,9)-INDEX('Step 4 Stage Discharge'!E$26:M$126,MATCH('Step 6 Quality Check'!C47,'Step 4 Stage Discharge'!E$26:E$126,1),9))*('Step 6 Quality Check'!C47-INDEX('Step 4 Stage Discharge'!E$26:M$126,MATCH('Step 6 Quality Check'!C47,'Step 4 Stage Discharge'!E$26:E$126,1),1))/(INDEX('Step 4 Stage Discharge'!E$26:M$126,MATCH('Step 6 Quality Check'!C47,'Step 4 Stage Discharge'!E$26:E$126,1)+1,1)-INDEX('Step 4 Stage Discharge'!E$26:M$126,MATCH('Step 6 Quality Check'!C47,'Step 4 Stage Discharge'!E$26:E$126,1),1))</f>
        <v>4.3639431710317386E-3</v>
      </c>
      <c r="F47" s="218">
        <f t="shared" si="0"/>
        <v>0</v>
      </c>
      <c r="G47" s="218">
        <f t="shared" si="1"/>
        <v>0</v>
      </c>
    </row>
    <row r="48" spans="1:7">
      <c r="A48" s="217">
        <f t="shared" si="2"/>
        <v>160</v>
      </c>
      <c r="B48" s="216">
        <f t="shared" si="3"/>
        <v>99.1</v>
      </c>
      <c r="C48" s="218">
        <f t="shared" si="4"/>
        <v>0</v>
      </c>
      <c r="D48" s="219">
        <f>INDEX('Step 4 Stage Discharge'!E$26:F$126,MATCH(C48,'Step 4 Stage Discharge'!E$26:E$126,1),2)+(INDEX('Step 4 Stage Discharge'!E$26:F$126,MATCH(C48,'Step 4 Stage Discharge'!E$26:E$126,1)+1,2)-INDEX('Step 4 Stage Discharge'!E$26:F$126,MATCH(C48,'Step 4 Stage Discharge'!E$26:E$126,1),2))*(C48-INDEX('Step 4 Stage Discharge'!E$26:F$126,MATCH(C48,'Step 4 Stage Discharge'!E$26:E$126,1),1))/(INDEX('Step 4 Stage Discharge'!E$26:F$126,MATCH(C48,'Step 4 Stage Discharge'!E$26:E$126,1)+1,1)-INDEX('Step 4 Stage Discharge'!E$26:F$126,MATCH(C48,'Step 4 Stage Discharge'!E$26:E$126,1),1))</f>
        <v>0</v>
      </c>
      <c r="E48" s="219">
        <f>INDEX('Step 4 Stage Discharge'!E$26:M$126,MATCH(C48,'Step 4 Stage Discharge'!E$26:E$126,1),9)+(INDEX('Step 4 Stage Discharge'!E$26:M$126,MATCH('Step 6 Quality Check'!C48,'Step 4 Stage Discharge'!E$26:E$126,1)+1,9)-INDEX('Step 4 Stage Discharge'!E$26:M$126,MATCH('Step 6 Quality Check'!C48,'Step 4 Stage Discharge'!E$26:E$126,1),9))*('Step 6 Quality Check'!C48-INDEX('Step 4 Stage Discharge'!E$26:M$126,MATCH('Step 6 Quality Check'!C48,'Step 4 Stage Discharge'!E$26:E$126,1),1))/(INDEX('Step 4 Stage Discharge'!E$26:M$126,MATCH('Step 6 Quality Check'!C48,'Step 4 Stage Discharge'!E$26:E$126,1)+1,1)-INDEX('Step 4 Stage Discharge'!E$26:M$126,MATCH('Step 6 Quality Check'!C48,'Step 4 Stage Discharge'!E$26:E$126,1),1))</f>
        <v>4.3639431710317386E-3</v>
      </c>
      <c r="F48" s="218">
        <f t="shared" si="0"/>
        <v>0</v>
      </c>
      <c r="G48" s="218">
        <f t="shared" si="1"/>
        <v>0</v>
      </c>
    </row>
    <row r="49" spans="1:7">
      <c r="A49" s="217">
        <f t="shared" si="2"/>
        <v>165</v>
      </c>
      <c r="B49" s="216">
        <f t="shared" si="3"/>
        <v>99.1</v>
      </c>
      <c r="C49" s="218">
        <f t="shared" si="4"/>
        <v>0</v>
      </c>
      <c r="D49" s="219">
        <f>INDEX('Step 4 Stage Discharge'!E$26:F$126,MATCH(C49,'Step 4 Stage Discharge'!E$26:E$126,1),2)+(INDEX('Step 4 Stage Discharge'!E$26:F$126,MATCH(C49,'Step 4 Stage Discharge'!E$26:E$126,1)+1,2)-INDEX('Step 4 Stage Discharge'!E$26:F$126,MATCH(C49,'Step 4 Stage Discharge'!E$26:E$126,1),2))*(C49-INDEX('Step 4 Stage Discharge'!E$26:F$126,MATCH(C49,'Step 4 Stage Discharge'!E$26:E$126,1),1))/(INDEX('Step 4 Stage Discharge'!E$26:F$126,MATCH(C49,'Step 4 Stage Discharge'!E$26:E$126,1)+1,1)-INDEX('Step 4 Stage Discharge'!E$26:F$126,MATCH(C49,'Step 4 Stage Discharge'!E$26:E$126,1),1))</f>
        <v>0</v>
      </c>
      <c r="E49" s="219">
        <f>INDEX('Step 4 Stage Discharge'!E$26:M$126,MATCH(C49,'Step 4 Stage Discharge'!E$26:E$126,1),9)+(INDEX('Step 4 Stage Discharge'!E$26:M$126,MATCH('Step 6 Quality Check'!C49,'Step 4 Stage Discharge'!E$26:E$126,1)+1,9)-INDEX('Step 4 Stage Discharge'!E$26:M$126,MATCH('Step 6 Quality Check'!C49,'Step 4 Stage Discharge'!E$26:E$126,1),9))*('Step 6 Quality Check'!C49-INDEX('Step 4 Stage Discharge'!E$26:M$126,MATCH('Step 6 Quality Check'!C49,'Step 4 Stage Discharge'!E$26:E$126,1),1))/(INDEX('Step 4 Stage Discharge'!E$26:M$126,MATCH('Step 6 Quality Check'!C49,'Step 4 Stage Discharge'!E$26:E$126,1)+1,1)-INDEX('Step 4 Stage Discharge'!E$26:M$126,MATCH('Step 6 Quality Check'!C49,'Step 4 Stage Discharge'!E$26:E$126,1),1))</f>
        <v>4.3639431710317386E-3</v>
      </c>
      <c r="F49" s="218">
        <f t="shared" si="0"/>
        <v>0</v>
      </c>
      <c r="G49" s="218">
        <f t="shared" si="1"/>
        <v>0</v>
      </c>
    </row>
    <row r="50" spans="1:7">
      <c r="A50" s="217">
        <f t="shared" si="2"/>
        <v>170</v>
      </c>
      <c r="B50" s="216">
        <f t="shared" si="3"/>
        <v>99.1</v>
      </c>
      <c r="C50" s="218">
        <f t="shared" si="4"/>
        <v>0</v>
      </c>
      <c r="D50" s="219">
        <f>INDEX('Step 4 Stage Discharge'!E$26:F$126,MATCH(C50,'Step 4 Stage Discharge'!E$26:E$126,1),2)+(INDEX('Step 4 Stage Discharge'!E$26:F$126,MATCH(C50,'Step 4 Stage Discharge'!E$26:E$126,1)+1,2)-INDEX('Step 4 Stage Discharge'!E$26:F$126,MATCH(C50,'Step 4 Stage Discharge'!E$26:E$126,1),2))*(C50-INDEX('Step 4 Stage Discharge'!E$26:F$126,MATCH(C50,'Step 4 Stage Discharge'!E$26:E$126,1),1))/(INDEX('Step 4 Stage Discharge'!E$26:F$126,MATCH(C50,'Step 4 Stage Discharge'!E$26:E$126,1)+1,1)-INDEX('Step 4 Stage Discharge'!E$26:F$126,MATCH(C50,'Step 4 Stage Discharge'!E$26:E$126,1),1))</f>
        <v>0</v>
      </c>
      <c r="E50" s="219">
        <f>INDEX('Step 4 Stage Discharge'!E$26:M$126,MATCH(C50,'Step 4 Stage Discharge'!E$26:E$126,1),9)+(INDEX('Step 4 Stage Discharge'!E$26:M$126,MATCH('Step 6 Quality Check'!C50,'Step 4 Stage Discharge'!E$26:E$126,1)+1,9)-INDEX('Step 4 Stage Discharge'!E$26:M$126,MATCH('Step 6 Quality Check'!C50,'Step 4 Stage Discharge'!E$26:E$126,1),9))*('Step 6 Quality Check'!C50-INDEX('Step 4 Stage Discharge'!E$26:M$126,MATCH('Step 6 Quality Check'!C50,'Step 4 Stage Discharge'!E$26:E$126,1),1))/(INDEX('Step 4 Stage Discharge'!E$26:M$126,MATCH('Step 6 Quality Check'!C50,'Step 4 Stage Discharge'!E$26:E$126,1)+1,1)-INDEX('Step 4 Stage Discharge'!E$26:M$126,MATCH('Step 6 Quality Check'!C50,'Step 4 Stage Discharge'!E$26:E$126,1),1))</f>
        <v>4.3639431710317386E-3</v>
      </c>
      <c r="F50" s="218">
        <f t="shared" si="0"/>
        <v>0</v>
      </c>
      <c r="G50" s="218">
        <f t="shared" si="1"/>
        <v>0</v>
      </c>
    </row>
    <row r="51" spans="1:7">
      <c r="A51" s="217">
        <f t="shared" si="2"/>
        <v>175</v>
      </c>
      <c r="B51" s="216">
        <f t="shared" si="3"/>
        <v>99.1</v>
      </c>
      <c r="C51" s="218">
        <f t="shared" si="4"/>
        <v>0</v>
      </c>
      <c r="D51" s="219">
        <f>INDEX('Step 4 Stage Discharge'!E$26:F$126,MATCH(C51,'Step 4 Stage Discharge'!E$26:E$126,1),2)+(INDEX('Step 4 Stage Discharge'!E$26:F$126,MATCH(C51,'Step 4 Stage Discharge'!E$26:E$126,1)+1,2)-INDEX('Step 4 Stage Discharge'!E$26:F$126,MATCH(C51,'Step 4 Stage Discharge'!E$26:E$126,1),2))*(C51-INDEX('Step 4 Stage Discharge'!E$26:F$126,MATCH(C51,'Step 4 Stage Discharge'!E$26:E$126,1),1))/(INDEX('Step 4 Stage Discharge'!E$26:F$126,MATCH(C51,'Step 4 Stage Discharge'!E$26:E$126,1)+1,1)-INDEX('Step 4 Stage Discharge'!E$26:F$126,MATCH(C51,'Step 4 Stage Discharge'!E$26:E$126,1),1))</f>
        <v>0</v>
      </c>
      <c r="E51" s="219">
        <f>INDEX('Step 4 Stage Discharge'!E$26:M$126,MATCH(C51,'Step 4 Stage Discharge'!E$26:E$126,1),9)+(INDEX('Step 4 Stage Discharge'!E$26:M$126,MATCH('Step 6 Quality Check'!C51,'Step 4 Stage Discharge'!E$26:E$126,1)+1,9)-INDEX('Step 4 Stage Discharge'!E$26:M$126,MATCH('Step 6 Quality Check'!C51,'Step 4 Stage Discharge'!E$26:E$126,1),9))*('Step 6 Quality Check'!C51-INDEX('Step 4 Stage Discharge'!E$26:M$126,MATCH('Step 6 Quality Check'!C51,'Step 4 Stage Discharge'!E$26:E$126,1),1))/(INDEX('Step 4 Stage Discharge'!E$26:M$126,MATCH('Step 6 Quality Check'!C51,'Step 4 Stage Discharge'!E$26:E$126,1)+1,1)-INDEX('Step 4 Stage Discharge'!E$26:M$126,MATCH('Step 6 Quality Check'!C51,'Step 4 Stage Discharge'!E$26:E$126,1),1))</f>
        <v>4.3639431710317386E-3</v>
      </c>
      <c r="F51" s="218">
        <f t="shared" si="0"/>
        <v>0</v>
      </c>
      <c r="G51" s="218">
        <f t="shared" si="1"/>
        <v>0</v>
      </c>
    </row>
    <row r="52" spans="1:7">
      <c r="A52" s="217">
        <f t="shared" si="2"/>
        <v>180</v>
      </c>
      <c r="B52" s="216">
        <f t="shared" si="3"/>
        <v>99.1</v>
      </c>
      <c r="C52" s="218">
        <f t="shared" si="4"/>
        <v>0</v>
      </c>
      <c r="D52" s="219">
        <f>INDEX('Step 4 Stage Discharge'!E$26:F$126,MATCH(C52,'Step 4 Stage Discharge'!E$26:E$126,1),2)+(INDEX('Step 4 Stage Discharge'!E$26:F$126,MATCH(C52,'Step 4 Stage Discharge'!E$26:E$126,1)+1,2)-INDEX('Step 4 Stage Discharge'!E$26:F$126,MATCH(C52,'Step 4 Stage Discharge'!E$26:E$126,1),2))*(C52-INDEX('Step 4 Stage Discharge'!E$26:F$126,MATCH(C52,'Step 4 Stage Discharge'!E$26:E$126,1),1))/(INDEX('Step 4 Stage Discharge'!E$26:F$126,MATCH(C52,'Step 4 Stage Discharge'!E$26:E$126,1)+1,1)-INDEX('Step 4 Stage Discharge'!E$26:F$126,MATCH(C52,'Step 4 Stage Discharge'!E$26:E$126,1),1))</f>
        <v>0</v>
      </c>
      <c r="E52" s="219">
        <f>INDEX('Step 4 Stage Discharge'!E$26:M$126,MATCH(C52,'Step 4 Stage Discharge'!E$26:E$126,1),9)+(INDEX('Step 4 Stage Discharge'!E$26:M$126,MATCH('Step 6 Quality Check'!C52,'Step 4 Stage Discharge'!E$26:E$126,1)+1,9)-INDEX('Step 4 Stage Discharge'!E$26:M$126,MATCH('Step 6 Quality Check'!C52,'Step 4 Stage Discharge'!E$26:E$126,1),9))*('Step 6 Quality Check'!C52-INDEX('Step 4 Stage Discharge'!E$26:M$126,MATCH('Step 6 Quality Check'!C52,'Step 4 Stage Discharge'!E$26:E$126,1),1))/(INDEX('Step 4 Stage Discharge'!E$26:M$126,MATCH('Step 6 Quality Check'!C52,'Step 4 Stage Discharge'!E$26:E$126,1)+1,1)-INDEX('Step 4 Stage Discharge'!E$26:M$126,MATCH('Step 6 Quality Check'!C52,'Step 4 Stage Discharge'!E$26:E$126,1),1))</f>
        <v>4.3639431710317386E-3</v>
      </c>
      <c r="F52" s="218">
        <f t="shared" si="0"/>
        <v>0</v>
      </c>
      <c r="G52" s="218">
        <f t="shared" si="1"/>
        <v>0</v>
      </c>
    </row>
    <row r="53" spans="1:7">
      <c r="A53" s="217">
        <f t="shared" si="2"/>
        <v>185</v>
      </c>
      <c r="B53" s="216">
        <f t="shared" si="3"/>
        <v>99.1</v>
      </c>
      <c r="C53" s="218">
        <f t="shared" si="4"/>
        <v>0</v>
      </c>
      <c r="D53" s="219">
        <f>INDEX('Step 4 Stage Discharge'!E$26:F$126,MATCH(C53,'Step 4 Stage Discharge'!E$26:E$126,1),2)+(INDEX('Step 4 Stage Discharge'!E$26:F$126,MATCH(C53,'Step 4 Stage Discharge'!E$26:E$126,1)+1,2)-INDEX('Step 4 Stage Discharge'!E$26:F$126,MATCH(C53,'Step 4 Stage Discharge'!E$26:E$126,1),2))*(C53-INDEX('Step 4 Stage Discharge'!E$26:F$126,MATCH(C53,'Step 4 Stage Discharge'!E$26:E$126,1),1))/(INDEX('Step 4 Stage Discharge'!E$26:F$126,MATCH(C53,'Step 4 Stage Discharge'!E$26:E$126,1)+1,1)-INDEX('Step 4 Stage Discharge'!E$26:F$126,MATCH(C53,'Step 4 Stage Discharge'!E$26:E$126,1),1))</f>
        <v>0</v>
      </c>
      <c r="E53" s="219">
        <f>INDEX('Step 4 Stage Discharge'!E$26:M$126,MATCH(C53,'Step 4 Stage Discharge'!E$26:E$126,1),9)+(INDEX('Step 4 Stage Discharge'!E$26:M$126,MATCH('Step 6 Quality Check'!C53,'Step 4 Stage Discharge'!E$26:E$126,1)+1,9)-INDEX('Step 4 Stage Discharge'!E$26:M$126,MATCH('Step 6 Quality Check'!C53,'Step 4 Stage Discharge'!E$26:E$126,1),9))*('Step 6 Quality Check'!C53-INDEX('Step 4 Stage Discharge'!E$26:M$126,MATCH('Step 6 Quality Check'!C53,'Step 4 Stage Discharge'!E$26:E$126,1),1))/(INDEX('Step 4 Stage Discharge'!E$26:M$126,MATCH('Step 6 Quality Check'!C53,'Step 4 Stage Discharge'!E$26:E$126,1)+1,1)-INDEX('Step 4 Stage Discharge'!E$26:M$126,MATCH('Step 6 Quality Check'!C53,'Step 4 Stage Discharge'!E$26:E$126,1),1))</f>
        <v>4.3639431710317386E-3</v>
      </c>
      <c r="F53" s="218">
        <f t="shared" si="0"/>
        <v>0</v>
      </c>
      <c r="G53" s="218">
        <f t="shared" si="1"/>
        <v>0</v>
      </c>
    </row>
    <row r="54" spans="1:7">
      <c r="A54" s="217">
        <f t="shared" si="2"/>
        <v>190</v>
      </c>
      <c r="B54" s="216">
        <f t="shared" si="3"/>
        <v>99.1</v>
      </c>
      <c r="C54" s="218">
        <f t="shared" si="4"/>
        <v>0</v>
      </c>
      <c r="D54" s="219">
        <f>INDEX('Step 4 Stage Discharge'!E$26:F$126,MATCH(C54,'Step 4 Stage Discharge'!E$26:E$126,1),2)+(INDEX('Step 4 Stage Discharge'!E$26:F$126,MATCH(C54,'Step 4 Stage Discharge'!E$26:E$126,1)+1,2)-INDEX('Step 4 Stage Discharge'!E$26:F$126,MATCH(C54,'Step 4 Stage Discharge'!E$26:E$126,1),2))*(C54-INDEX('Step 4 Stage Discharge'!E$26:F$126,MATCH(C54,'Step 4 Stage Discharge'!E$26:E$126,1),1))/(INDEX('Step 4 Stage Discharge'!E$26:F$126,MATCH(C54,'Step 4 Stage Discharge'!E$26:E$126,1)+1,1)-INDEX('Step 4 Stage Discharge'!E$26:F$126,MATCH(C54,'Step 4 Stage Discharge'!E$26:E$126,1),1))</f>
        <v>0</v>
      </c>
      <c r="E54" s="219">
        <f>INDEX('Step 4 Stage Discharge'!E$26:M$126,MATCH(C54,'Step 4 Stage Discharge'!E$26:E$126,1),9)+(INDEX('Step 4 Stage Discharge'!E$26:M$126,MATCH('Step 6 Quality Check'!C54,'Step 4 Stage Discharge'!E$26:E$126,1)+1,9)-INDEX('Step 4 Stage Discharge'!E$26:M$126,MATCH('Step 6 Quality Check'!C54,'Step 4 Stage Discharge'!E$26:E$126,1),9))*('Step 6 Quality Check'!C54-INDEX('Step 4 Stage Discharge'!E$26:M$126,MATCH('Step 6 Quality Check'!C54,'Step 4 Stage Discharge'!E$26:E$126,1),1))/(INDEX('Step 4 Stage Discharge'!E$26:M$126,MATCH('Step 6 Quality Check'!C54,'Step 4 Stage Discharge'!E$26:E$126,1)+1,1)-INDEX('Step 4 Stage Discharge'!E$26:M$126,MATCH('Step 6 Quality Check'!C54,'Step 4 Stage Discharge'!E$26:E$126,1),1))</f>
        <v>4.3639431710317386E-3</v>
      </c>
      <c r="F54" s="218">
        <f t="shared" si="0"/>
        <v>0</v>
      </c>
      <c r="G54" s="218">
        <f t="shared" si="1"/>
        <v>0</v>
      </c>
    </row>
    <row r="55" spans="1:7">
      <c r="A55" s="217">
        <f t="shared" si="2"/>
        <v>195</v>
      </c>
      <c r="B55" s="216">
        <f t="shared" si="3"/>
        <v>99.1</v>
      </c>
      <c r="C55" s="218">
        <f t="shared" si="4"/>
        <v>0</v>
      </c>
      <c r="D55" s="219">
        <f>INDEX('Step 4 Stage Discharge'!E$26:F$126,MATCH(C55,'Step 4 Stage Discharge'!E$26:E$126,1),2)+(INDEX('Step 4 Stage Discharge'!E$26:F$126,MATCH(C55,'Step 4 Stage Discharge'!E$26:E$126,1)+1,2)-INDEX('Step 4 Stage Discharge'!E$26:F$126,MATCH(C55,'Step 4 Stage Discharge'!E$26:E$126,1),2))*(C55-INDEX('Step 4 Stage Discharge'!E$26:F$126,MATCH(C55,'Step 4 Stage Discharge'!E$26:E$126,1),1))/(INDEX('Step 4 Stage Discharge'!E$26:F$126,MATCH(C55,'Step 4 Stage Discharge'!E$26:E$126,1)+1,1)-INDEX('Step 4 Stage Discharge'!E$26:F$126,MATCH(C55,'Step 4 Stage Discharge'!E$26:E$126,1),1))</f>
        <v>0</v>
      </c>
      <c r="E55" s="219">
        <f>INDEX('Step 4 Stage Discharge'!E$26:M$126,MATCH(C55,'Step 4 Stage Discharge'!E$26:E$126,1),9)+(INDEX('Step 4 Stage Discharge'!E$26:M$126,MATCH('Step 6 Quality Check'!C55,'Step 4 Stage Discharge'!E$26:E$126,1)+1,9)-INDEX('Step 4 Stage Discharge'!E$26:M$126,MATCH('Step 6 Quality Check'!C55,'Step 4 Stage Discharge'!E$26:E$126,1),9))*('Step 6 Quality Check'!C55-INDEX('Step 4 Stage Discharge'!E$26:M$126,MATCH('Step 6 Quality Check'!C55,'Step 4 Stage Discharge'!E$26:E$126,1),1))/(INDEX('Step 4 Stage Discharge'!E$26:M$126,MATCH('Step 6 Quality Check'!C55,'Step 4 Stage Discharge'!E$26:E$126,1)+1,1)-INDEX('Step 4 Stage Discharge'!E$26:M$126,MATCH('Step 6 Quality Check'!C55,'Step 4 Stage Discharge'!E$26:E$126,1),1))</f>
        <v>4.3639431710317386E-3</v>
      </c>
      <c r="F55" s="218">
        <f t="shared" si="0"/>
        <v>0</v>
      </c>
      <c r="G55" s="218">
        <f t="shared" si="1"/>
        <v>0</v>
      </c>
    </row>
    <row r="56" spans="1:7">
      <c r="A56" s="217">
        <f t="shared" si="2"/>
        <v>200</v>
      </c>
      <c r="B56" s="216">
        <f t="shared" si="3"/>
        <v>99.1</v>
      </c>
      <c r="C56" s="218">
        <f t="shared" si="4"/>
        <v>0</v>
      </c>
      <c r="D56" s="219">
        <f>INDEX('Step 4 Stage Discharge'!E$26:F$126,MATCH(C56,'Step 4 Stage Discharge'!E$26:E$126,1),2)+(INDEX('Step 4 Stage Discharge'!E$26:F$126,MATCH(C56,'Step 4 Stage Discharge'!E$26:E$126,1)+1,2)-INDEX('Step 4 Stage Discharge'!E$26:F$126,MATCH(C56,'Step 4 Stage Discharge'!E$26:E$126,1),2))*(C56-INDEX('Step 4 Stage Discharge'!E$26:F$126,MATCH(C56,'Step 4 Stage Discharge'!E$26:E$126,1),1))/(INDEX('Step 4 Stage Discharge'!E$26:F$126,MATCH(C56,'Step 4 Stage Discharge'!E$26:E$126,1)+1,1)-INDEX('Step 4 Stage Discharge'!E$26:F$126,MATCH(C56,'Step 4 Stage Discharge'!E$26:E$126,1),1))</f>
        <v>0</v>
      </c>
      <c r="E56" s="219">
        <f>INDEX('Step 4 Stage Discharge'!E$26:M$126,MATCH(C56,'Step 4 Stage Discharge'!E$26:E$126,1),9)+(INDEX('Step 4 Stage Discharge'!E$26:M$126,MATCH('Step 6 Quality Check'!C56,'Step 4 Stage Discharge'!E$26:E$126,1)+1,9)-INDEX('Step 4 Stage Discharge'!E$26:M$126,MATCH('Step 6 Quality Check'!C56,'Step 4 Stage Discharge'!E$26:E$126,1),9))*('Step 6 Quality Check'!C56-INDEX('Step 4 Stage Discharge'!E$26:M$126,MATCH('Step 6 Quality Check'!C56,'Step 4 Stage Discharge'!E$26:E$126,1),1))/(INDEX('Step 4 Stage Discharge'!E$26:M$126,MATCH('Step 6 Quality Check'!C56,'Step 4 Stage Discharge'!E$26:E$126,1)+1,1)-INDEX('Step 4 Stage Discharge'!E$26:M$126,MATCH('Step 6 Quality Check'!C56,'Step 4 Stage Discharge'!E$26:E$126,1),1))</f>
        <v>4.3639431710317386E-3</v>
      </c>
      <c r="F56" s="218">
        <f t="shared" si="0"/>
        <v>0</v>
      </c>
      <c r="G56" s="218">
        <f t="shared" si="1"/>
        <v>0</v>
      </c>
    </row>
    <row r="57" spans="1:7">
      <c r="A57" s="217">
        <f t="shared" si="2"/>
        <v>205</v>
      </c>
      <c r="B57" s="216">
        <f t="shared" si="3"/>
        <v>99.1</v>
      </c>
      <c r="C57" s="218">
        <f t="shared" si="4"/>
        <v>0</v>
      </c>
      <c r="D57" s="219">
        <f>INDEX('Step 4 Stage Discharge'!E$26:F$126,MATCH(C57,'Step 4 Stage Discharge'!E$26:E$126,1),2)+(INDEX('Step 4 Stage Discharge'!E$26:F$126,MATCH(C57,'Step 4 Stage Discharge'!E$26:E$126,1)+1,2)-INDEX('Step 4 Stage Discharge'!E$26:F$126,MATCH(C57,'Step 4 Stage Discharge'!E$26:E$126,1),2))*(C57-INDEX('Step 4 Stage Discharge'!E$26:F$126,MATCH(C57,'Step 4 Stage Discharge'!E$26:E$126,1),1))/(INDEX('Step 4 Stage Discharge'!E$26:F$126,MATCH(C57,'Step 4 Stage Discharge'!E$26:E$126,1)+1,1)-INDEX('Step 4 Stage Discharge'!E$26:F$126,MATCH(C57,'Step 4 Stage Discharge'!E$26:E$126,1),1))</f>
        <v>0</v>
      </c>
      <c r="E57" s="219">
        <f>INDEX('Step 4 Stage Discharge'!E$26:M$126,MATCH(C57,'Step 4 Stage Discharge'!E$26:E$126,1),9)+(INDEX('Step 4 Stage Discharge'!E$26:M$126,MATCH('Step 6 Quality Check'!C57,'Step 4 Stage Discharge'!E$26:E$126,1)+1,9)-INDEX('Step 4 Stage Discharge'!E$26:M$126,MATCH('Step 6 Quality Check'!C57,'Step 4 Stage Discharge'!E$26:E$126,1),9))*('Step 6 Quality Check'!C57-INDEX('Step 4 Stage Discharge'!E$26:M$126,MATCH('Step 6 Quality Check'!C57,'Step 4 Stage Discharge'!E$26:E$126,1),1))/(INDEX('Step 4 Stage Discharge'!E$26:M$126,MATCH('Step 6 Quality Check'!C57,'Step 4 Stage Discharge'!E$26:E$126,1)+1,1)-INDEX('Step 4 Stage Discharge'!E$26:M$126,MATCH('Step 6 Quality Check'!C57,'Step 4 Stage Discharge'!E$26:E$126,1),1))</f>
        <v>4.3639431710317386E-3</v>
      </c>
      <c r="F57" s="218">
        <f t="shared" si="0"/>
        <v>0</v>
      </c>
      <c r="G57" s="218">
        <f t="shared" si="1"/>
        <v>0</v>
      </c>
    </row>
    <row r="58" spans="1:7">
      <c r="A58" s="217">
        <f t="shared" si="2"/>
        <v>210</v>
      </c>
      <c r="B58" s="216">
        <f t="shared" si="3"/>
        <v>99.1</v>
      </c>
      <c r="C58" s="218">
        <f t="shared" si="4"/>
        <v>0</v>
      </c>
      <c r="D58" s="219">
        <f>INDEX('Step 4 Stage Discharge'!E$26:F$126,MATCH(C58,'Step 4 Stage Discharge'!E$26:E$126,1),2)+(INDEX('Step 4 Stage Discharge'!E$26:F$126,MATCH(C58,'Step 4 Stage Discharge'!E$26:E$126,1)+1,2)-INDEX('Step 4 Stage Discharge'!E$26:F$126,MATCH(C58,'Step 4 Stage Discharge'!E$26:E$126,1),2))*(C58-INDEX('Step 4 Stage Discharge'!E$26:F$126,MATCH(C58,'Step 4 Stage Discharge'!E$26:E$126,1),1))/(INDEX('Step 4 Stage Discharge'!E$26:F$126,MATCH(C58,'Step 4 Stage Discharge'!E$26:E$126,1)+1,1)-INDEX('Step 4 Stage Discharge'!E$26:F$126,MATCH(C58,'Step 4 Stage Discharge'!E$26:E$126,1),1))</f>
        <v>0</v>
      </c>
      <c r="E58" s="219">
        <f>INDEX('Step 4 Stage Discharge'!E$26:M$126,MATCH(C58,'Step 4 Stage Discharge'!E$26:E$126,1),9)+(INDEX('Step 4 Stage Discharge'!E$26:M$126,MATCH('Step 6 Quality Check'!C58,'Step 4 Stage Discharge'!E$26:E$126,1)+1,9)-INDEX('Step 4 Stage Discharge'!E$26:M$126,MATCH('Step 6 Quality Check'!C58,'Step 4 Stage Discharge'!E$26:E$126,1),9))*('Step 6 Quality Check'!C58-INDEX('Step 4 Stage Discharge'!E$26:M$126,MATCH('Step 6 Quality Check'!C58,'Step 4 Stage Discharge'!E$26:E$126,1),1))/(INDEX('Step 4 Stage Discharge'!E$26:M$126,MATCH('Step 6 Quality Check'!C58,'Step 4 Stage Discharge'!E$26:E$126,1)+1,1)-INDEX('Step 4 Stage Discharge'!E$26:M$126,MATCH('Step 6 Quality Check'!C58,'Step 4 Stage Discharge'!E$26:E$126,1),1))</f>
        <v>4.3639431710317386E-3</v>
      </c>
      <c r="F58" s="218">
        <f t="shared" si="0"/>
        <v>0</v>
      </c>
      <c r="G58" s="218">
        <f t="shared" si="1"/>
        <v>0</v>
      </c>
    </row>
    <row r="59" spans="1:7">
      <c r="A59" s="217">
        <f t="shared" si="2"/>
        <v>215</v>
      </c>
      <c r="B59" s="216">
        <f t="shared" si="3"/>
        <v>99.1</v>
      </c>
      <c r="C59" s="218">
        <f t="shared" si="4"/>
        <v>0</v>
      </c>
      <c r="D59" s="219">
        <f>INDEX('Step 4 Stage Discharge'!E$26:F$126,MATCH(C59,'Step 4 Stage Discharge'!E$26:E$126,1),2)+(INDEX('Step 4 Stage Discharge'!E$26:F$126,MATCH(C59,'Step 4 Stage Discharge'!E$26:E$126,1)+1,2)-INDEX('Step 4 Stage Discharge'!E$26:F$126,MATCH(C59,'Step 4 Stage Discharge'!E$26:E$126,1),2))*(C59-INDEX('Step 4 Stage Discharge'!E$26:F$126,MATCH(C59,'Step 4 Stage Discharge'!E$26:E$126,1),1))/(INDEX('Step 4 Stage Discharge'!E$26:F$126,MATCH(C59,'Step 4 Stage Discharge'!E$26:E$126,1)+1,1)-INDEX('Step 4 Stage Discharge'!E$26:F$126,MATCH(C59,'Step 4 Stage Discharge'!E$26:E$126,1),1))</f>
        <v>0</v>
      </c>
      <c r="E59" s="219">
        <f>INDEX('Step 4 Stage Discharge'!E$26:M$126,MATCH(C59,'Step 4 Stage Discharge'!E$26:E$126,1),9)+(INDEX('Step 4 Stage Discharge'!E$26:M$126,MATCH('Step 6 Quality Check'!C59,'Step 4 Stage Discharge'!E$26:E$126,1)+1,9)-INDEX('Step 4 Stage Discharge'!E$26:M$126,MATCH('Step 6 Quality Check'!C59,'Step 4 Stage Discharge'!E$26:E$126,1),9))*('Step 6 Quality Check'!C59-INDEX('Step 4 Stage Discharge'!E$26:M$126,MATCH('Step 6 Quality Check'!C59,'Step 4 Stage Discharge'!E$26:E$126,1),1))/(INDEX('Step 4 Stage Discharge'!E$26:M$126,MATCH('Step 6 Quality Check'!C59,'Step 4 Stage Discharge'!E$26:E$126,1)+1,1)-INDEX('Step 4 Stage Discharge'!E$26:M$126,MATCH('Step 6 Quality Check'!C59,'Step 4 Stage Discharge'!E$26:E$126,1),1))</f>
        <v>4.3639431710317386E-3</v>
      </c>
      <c r="F59" s="218">
        <f t="shared" si="0"/>
        <v>0</v>
      </c>
      <c r="G59" s="218">
        <f t="shared" si="1"/>
        <v>0</v>
      </c>
    </row>
    <row r="60" spans="1:7">
      <c r="A60" s="217">
        <f t="shared" si="2"/>
        <v>220</v>
      </c>
      <c r="B60" s="216">
        <f t="shared" si="3"/>
        <v>99.1</v>
      </c>
      <c r="C60" s="218">
        <f t="shared" si="4"/>
        <v>0</v>
      </c>
      <c r="D60" s="219">
        <f>INDEX('Step 4 Stage Discharge'!E$26:F$126,MATCH(C60,'Step 4 Stage Discharge'!E$26:E$126,1),2)+(INDEX('Step 4 Stage Discharge'!E$26:F$126,MATCH(C60,'Step 4 Stage Discharge'!E$26:E$126,1)+1,2)-INDEX('Step 4 Stage Discharge'!E$26:F$126,MATCH(C60,'Step 4 Stage Discharge'!E$26:E$126,1),2))*(C60-INDEX('Step 4 Stage Discharge'!E$26:F$126,MATCH(C60,'Step 4 Stage Discharge'!E$26:E$126,1),1))/(INDEX('Step 4 Stage Discharge'!E$26:F$126,MATCH(C60,'Step 4 Stage Discharge'!E$26:E$126,1)+1,1)-INDEX('Step 4 Stage Discharge'!E$26:F$126,MATCH(C60,'Step 4 Stage Discharge'!E$26:E$126,1),1))</f>
        <v>0</v>
      </c>
      <c r="E60" s="219">
        <f>INDEX('Step 4 Stage Discharge'!E$26:M$126,MATCH(C60,'Step 4 Stage Discharge'!E$26:E$126,1),9)+(INDEX('Step 4 Stage Discharge'!E$26:M$126,MATCH('Step 6 Quality Check'!C60,'Step 4 Stage Discharge'!E$26:E$126,1)+1,9)-INDEX('Step 4 Stage Discharge'!E$26:M$126,MATCH('Step 6 Quality Check'!C60,'Step 4 Stage Discharge'!E$26:E$126,1),9))*('Step 6 Quality Check'!C60-INDEX('Step 4 Stage Discharge'!E$26:M$126,MATCH('Step 6 Quality Check'!C60,'Step 4 Stage Discharge'!E$26:E$126,1),1))/(INDEX('Step 4 Stage Discharge'!E$26:M$126,MATCH('Step 6 Quality Check'!C60,'Step 4 Stage Discharge'!E$26:E$126,1)+1,1)-INDEX('Step 4 Stage Discharge'!E$26:M$126,MATCH('Step 6 Quality Check'!C60,'Step 4 Stage Discharge'!E$26:E$126,1),1))</f>
        <v>4.3639431710317386E-3</v>
      </c>
      <c r="F60" s="218">
        <f t="shared" si="0"/>
        <v>0</v>
      </c>
      <c r="G60" s="218">
        <f t="shared" si="1"/>
        <v>0</v>
      </c>
    </row>
    <row r="61" spans="1:7">
      <c r="A61" s="217">
        <f t="shared" si="2"/>
        <v>225</v>
      </c>
      <c r="B61" s="216">
        <f t="shared" si="3"/>
        <v>99.1</v>
      </c>
      <c r="C61" s="218">
        <f t="shared" si="4"/>
        <v>0</v>
      </c>
      <c r="D61" s="219">
        <f>INDEX('Step 4 Stage Discharge'!E$26:F$126,MATCH(C61,'Step 4 Stage Discharge'!E$26:E$126,1),2)+(INDEX('Step 4 Stage Discharge'!E$26:F$126,MATCH(C61,'Step 4 Stage Discharge'!E$26:E$126,1)+1,2)-INDEX('Step 4 Stage Discharge'!E$26:F$126,MATCH(C61,'Step 4 Stage Discharge'!E$26:E$126,1),2))*(C61-INDEX('Step 4 Stage Discharge'!E$26:F$126,MATCH(C61,'Step 4 Stage Discharge'!E$26:E$126,1),1))/(INDEX('Step 4 Stage Discharge'!E$26:F$126,MATCH(C61,'Step 4 Stage Discharge'!E$26:E$126,1)+1,1)-INDEX('Step 4 Stage Discharge'!E$26:F$126,MATCH(C61,'Step 4 Stage Discharge'!E$26:E$126,1),1))</f>
        <v>0</v>
      </c>
      <c r="E61" s="219">
        <f>INDEX('Step 4 Stage Discharge'!E$26:M$126,MATCH(C61,'Step 4 Stage Discharge'!E$26:E$126,1),9)+(INDEX('Step 4 Stage Discharge'!E$26:M$126,MATCH('Step 6 Quality Check'!C61,'Step 4 Stage Discharge'!E$26:E$126,1)+1,9)-INDEX('Step 4 Stage Discharge'!E$26:M$126,MATCH('Step 6 Quality Check'!C61,'Step 4 Stage Discharge'!E$26:E$126,1),9))*('Step 6 Quality Check'!C61-INDEX('Step 4 Stage Discharge'!E$26:M$126,MATCH('Step 6 Quality Check'!C61,'Step 4 Stage Discharge'!E$26:E$126,1),1))/(INDEX('Step 4 Stage Discharge'!E$26:M$126,MATCH('Step 6 Quality Check'!C61,'Step 4 Stage Discharge'!E$26:E$126,1)+1,1)-INDEX('Step 4 Stage Discharge'!E$26:M$126,MATCH('Step 6 Quality Check'!C61,'Step 4 Stage Discharge'!E$26:E$126,1),1))</f>
        <v>4.3639431710317386E-3</v>
      </c>
      <c r="F61" s="218">
        <f t="shared" si="0"/>
        <v>0</v>
      </c>
      <c r="G61" s="218">
        <f t="shared" si="1"/>
        <v>0</v>
      </c>
    </row>
    <row r="62" spans="1:7">
      <c r="A62" s="217">
        <f t="shared" si="2"/>
        <v>230</v>
      </c>
      <c r="B62" s="216">
        <f t="shared" si="3"/>
        <v>99.1</v>
      </c>
      <c r="C62" s="218">
        <f t="shared" si="4"/>
        <v>0</v>
      </c>
      <c r="D62" s="219">
        <f>INDEX('Step 4 Stage Discharge'!E$26:F$126,MATCH(C62,'Step 4 Stage Discharge'!E$26:E$126,1),2)+(INDEX('Step 4 Stage Discharge'!E$26:F$126,MATCH(C62,'Step 4 Stage Discharge'!E$26:E$126,1)+1,2)-INDEX('Step 4 Stage Discharge'!E$26:F$126,MATCH(C62,'Step 4 Stage Discharge'!E$26:E$126,1),2))*(C62-INDEX('Step 4 Stage Discharge'!E$26:F$126,MATCH(C62,'Step 4 Stage Discharge'!E$26:E$126,1),1))/(INDEX('Step 4 Stage Discharge'!E$26:F$126,MATCH(C62,'Step 4 Stage Discharge'!E$26:E$126,1)+1,1)-INDEX('Step 4 Stage Discharge'!E$26:F$126,MATCH(C62,'Step 4 Stage Discharge'!E$26:E$126,1),1))</f>
        <v>0</v>
      </c>
      <c r="E62" s="219">
        <f>INDEX('Step 4 Stage Discharge'!E$26:M$126,MATCH(C62,'Step 4 Stage Discharge'!E$26:E$126,1),9)+(INDEX('Step 4 Stage Discharge'!E$26:M$126,MATCH('Step 6 Quality Check'!C62,'Step 4 Stage Discharge'!E$26:E$126,1)+1,9)-INDEX('Step 4 Stage Discharge'!E$26:M$126,MATCH('Step 6 Quality Check'!C62,'Step 4 Stage Discharge'!E$26:E$126,1),9))*('Step 6 Quality Check'!C62-INDEX('Step 4 Stage Discharge'!E$26:M$126,MATCH('Step 6 Quality Check'!C62,'Step 4 Stage Discharge'!E$26:E$126,1),1))/(INDEX('Step 4 Stage Discharge'!E$26:M$126,MATCH('Step 6 Quality Check'!C62,'Step 4 Stage Discharge'!E$26:E$126,1)+1,1)-INDEX('Step 4 Stage Discharge'!E$26:M$126,MATCH('Step 6 Quality Check'!C62,'Step 4 Stage Discharge'!E$26:E$126,1),1))</f>
        <v>4.3639431710317386E-3</v>
      </c>
      <c r="F62" s="218">
        <f t="shared" si="0"/>
        <v>0</v>
      </c>
      <c r="G62" s="218">
        <f t="shared" si="1"/>
        <v>0</v>
      </c>
    </row>
    <row r="63" spans="1:7">
      <c r="A63" s="217">
        <f t="shared" si="2"/>
        <v>235</v>
      </c>
      <c r="B63" s="216">
        <f t="shared" si="3"/>
        <v>99.1</v>
      </c>
      <c r="C63" s="218">
        <f t="shared" si="4"/>
        <v>0</v>
      </c>
      <c r="D63" s="219">
        <f>INDEX('Step 4 Stage Discharge'!E$26:F$126,MATCH(C63,'Step 4 Stage Discharge'!E$26:E$126,1),2)+(INDEX('Step 4 Stage Discharge'!E$26:F$126,MATCH(C63,'Step 4 Stage Discharge'!E$26:E$126,1)+1,2)-INDEX('Step 4 Stage Discharge'!E$26:F$126,MATCH(C63,'Step 4 Stage Discharge'!E$26:E$126,1),2))*(C63-INDEX('Step 4 Stage Discharge'!E$26:F$126,MATCH(C63,'Step 4 Stage Discharge'!E$26:E$126,1),1))/(INDEX('Step 4 Stage Discharge'!E$26:F$126,MATCH(C63,'Step 4 Stage Discharge'!E$26:E$126,1)+1,1)-INDEX('Step 4 Stage Discharge'!E$26:F$126,MATCH(C63,'Step 4 Stage Discharge'!E$26:E$126,1),1))</f>
        <v>0</v>
      </c>
      <c r="E63" s="219">
        <f>INDEX('Step 4 Stage Discharge'!E$26:M$126,MATCH(C63,'Step 4 Stage Discharge'!E$26:E$126,1),9)+(INDEX('Step 4 Stage Discharge'!E$26:M$126,MATCH('Step 6 Quality Check'!C63,'Step 4 Stage Discharge'!E$26:E$126,1)+1,9)-INDEX('Step 4 Stage Discharge'!E$26:M$126,MATCH('Step 6 Quality Check'!C63,'Step 4 Stage Discharge'!E$26:E$126,1),9))*('Step 6 Quality Check'!C63-INDEX('Step 4 Stage Discharge'!E$26:M$126,MATCH('Step 6 Quality Check'!C63,'Step 4 Stage Discharge'!E$26:E$126,1),1))/(INDEX('Step 4 Stage Discharge'!E$26:M$126,MATCH('Step 6 Quality Check'!C63,'Step 4 Stage Discharge'!E$26:E$126,1)+1,1)-INDEX('Step 4 Stage Discharge'!E$26:M$126,MATCH('Step 6 Quality Check'!C63,'Step 4 Stage Discharge'!E$26:E$126,1),1))</f>
        <v>4.3639431710317386E-3</v>
      </c>
      <c r="F63" s="218">
        <f t="shared" si="0"/>
        <v>0</v>
      </c>
      <c r="G63" s="218">
        <f t="shared" si="1"/>
        <v>0</v>
      </c>
    </row>
    <row r="64" spans="1:7">
      <c r="A64" s="217">
        <f t="shared" si="2"/>
        <v>240</v>
      </c>
      <c r="B64" s="216">
        <f t="shared" si="3"/>
        <v>99.1</v>
      </c>
      <c r="C64" s="218">
        <f t="shared" si="4"/>
        <v>0</v>
      </c>
      <c r="D64" s="219">
        <f>INDEX('Step 4 Stage Discharge'!E$26:F$126,MATCH(C64,'Step 4 Stage Discharge'!E$26:E$126,1),2)+(INDEX('Step 4 Stage Discharge'!E$26:F$126,MATCH(C64,'Step 4 Stage Discharge'!E$26:E$126,1)+1,2)-INDEX('Step 4 Stage Discharge'!E$26:F$126,MATCH(C64,'Step 4 Stage Discharge'!E$26:E$126,1),2))*(C64-INDEX('Step 4 Stage Discharge'!E$26:F$126,MATCH(C64,'Step 4 Stage Discharge'!E$26:E$126,1),1))/(INDEX('Step 4 Stage Discharge'!E$26:F$126,MATCH(C64,'Step 4 Stage Discharge'!E$26:E$126,1)+1,1)-INDEX('Step 4 Stage Discharge'!E$26:F$126,MATCH(C64,'Step 4 Stage Discharge'!E$26:E$126,1),1))</f>
        <v>0</v>
      </c>
      <c r="E64" s="219">
        <f>INDEX('Step 4 Stage Discharge'!E$26:M$126,MATCH(C64,'Step 4 Stage Discharge'!E$26:E$126,1),9)+(INDEX('Step 4 Stage Discharge'!E$26:M$126,MATCH('Step 6 Quality Check'!C64,'Step 4 Stage Discharge'!E$26:E$126,1)+1,9)-INDEX('Step 4 Stage Discharge'!E$26:M$126,MATCH('Step 6 Quality Check'!C64,'Step 4 Stage Discharge'!E$26:E$126,1),9))*('Step 6 Quality Check'!C64-INDEX('Step 4 Stage Discharge'!E$26:M$126,MATCH('Step 6 Quality Check'!C64,'Step 4 Stage Discharge'!E$26:E$126,1),1))/(INDEX('Step 4 Stage Discharge'!E$26:M$126,MATCH('Step 6 Quality Check'!C64,'Step 4 Stage Discharge'!E$26:E$126,1)+1,1)-INDEX('Step 4 Stage Discharge'!E$26:M$126,MATCH('Step 6 Quality Check'!C64,'Step 4 Stage Discharge'!E$26:E$126,1),1))</f>
        <v>4.3639431710317386E-3</v>
      </c>
      <c r="F64" s="218">
        <f t="shared" si="0"/>
        <v>0</v>
      </c>
      <c r="G64" s="218">
        <f t="shared" si="1"/>
        <v>0</v>
      </c>
    </row>
    <row r="65" spans="1:7">
      <c r="A65" s="217">
        <f t="shared" si="2"/>
        <v>245</v>
      </c>
      <c r="B65" s="216">
        <f t="shared" si="3"/>
        <v>99.1</v>
      </c>
      <c r="C65" s="218">
        <f t="shared" si="4"/>
        <v>0</v>
      </c>
      <c r="D65" s="219">
        <f>INDEX('Step 4 Stage Discharge'!E$26:F$126,MATCH(C65,'Step 4 Stage Discharge'!E$26:E$126,1),2)+(INDEX('Step 4 Stage Discharge'!E$26:F$126,MATCH(C65,'Step 4 Stage Discharge'!E$26:E$126,1)+1,2)-INDEX('Step 4 Stage Discharge'!E$26:F$126,MATCH(C65,'Step 4 Stage Discharge'!E$26:E$126,1),2))*(C65-INDEX('Step 4 Stage Discharge'!E$26:F$126,MATCH(C65,'Step 4 Stage Discharge'!E$26:E$126,1),1))/(INDEX('Step 4 Stage Discharge'!E$26:F$126,MATCH(C65,'Step 4 Stage Discharge'!E$26:E$126,1)+1,1)-INDEX('Step 4 Stage Discharge'!E$26:F$126,MATCH(C65,'Step 4 Stage Discharge'!E$26:E$126,1),1))</f>
        <v>0</v>
      </c>
      <c r="E65" s="219">
        <f>INDEX('Step 4 Stage Discharge'!E$26:M$126,MATCH(C65,'Step 4 Stage Discharge'!E$26:E$126,1),9)+(INDEX('Step 4 Stage Discharge'!E$26:M$126,MATCH('Step 6 Quality Check'!C65,'Step 4 Stage Discharge'!E$26:E$126,1)+1,9)-INDEX('Step 4 Stage Discharge'!E$26:M$126,MATCH('Step 6 Quality Check'!C65,'Step 4 Stage Discharge'!E$26:E$126,1),9))*('Step 6 Quality Check'!C65-INDEX('Step 4 Stage Discharge'!E$26:M$126,MATCH('Step 6 Quality Check'!C65,'Step 4 Stage Discharge'!E$26:E$126,1),1))/(INDEX('Step 4 Stage Discharge'!E$26:M$126,MATCH('Step 6 Quality Check'!C65,'Step 4 Stage Discharge'!E$26:E$126,1)+1,1)-INDEX('Step 4 Stage Discharge'!E$26:M$126,MATCH('Step 6 Quality Check'!C65,'Step 4 Stage Discharge'!E$26:E$126,1),1))</f>
        <v>4.3639431710317386E-3</v>
      </c>
      <c r="F65" s="218">
        <f t="shared" si="0"/>
        <v>0</v>
      </c>
      <c r="G65" s="218">
        <f t="shared" si="1"/>
        <v>0</v>
      </c>
    </row>
    <row r="66" spans="1:7">
      <c r="A66" s="217">
        <f t="shared" si="2"/>
        <v>250</v>
      </c>
      <c r="B66" s="216">
        <f t="shared" si="3"/>
        <v>99.1</v>
      </c>
      <c r="C66" s="218">
        <f t="shared" si="4"/>
        <v>0</v>
      </c>
      <c r="D66" s="219">
        <f>INDEX('Step 4 Stage Discharge'!E$26:F$126,MATCH(C66,'Step 4 Stage Discharge'!E$26:E$126,1),2)+(INDEX('Step 4 Stage Discharge'!E$26:F$126,MATCH(C66,'Step 4 Stage Discharge'!E$26:E$126,1)+1,2)-INDEX('Step 4 Stage Discharge'!E$26:F$126,MATCH(C66,'Step 4 Stage Discharge'!E$26:E$126,1),2))*(C66-INDEX('Step 4 Stage Discharge'!E$26:F$126,MATCH(C66,'Step 4 Stage Discharge'!E$26:E$126,1),1))/(INDEX('Step 4 Stage Discharge'!E$26:F$126,MATCH(C66,'Step 4 Stage Discharge'!E$26:E$126,1)+1,1)-INDEX('Step 4 Stage Discharge'!E$26:F$126,MATCH(C66,'Step 4 Stage Discharge'!E$26:E$126,1),1))</f>
        <v>0</v>
      </c>
      <c r="E66" s="219">
        <f>INDEX('Step 4 Stage Discharge'!E$26:M$126,MATCH(C66,'Step 4 Stage Discharge'!E$26:E$126,1),9)+(INDEX('Step 4 Stage Discharge'!E$26:M$126,MATCH('Step 6 Quality Check'!C66,'Step 4 Stage Discharge'!E$26:E$126,1)+1,9)-INDEX('Step 4 Stage Discharge'!E$26:M$126,MATCH('Step 6 Quality Check'!C66,'Step 4 Stage Discharge'!E$26:E$126,1),9))*('Step 6 Quality Check'!C66-INDEX('Step 4 Stage Discharge'!E$26:M$126,MATCH('Step 6 Quality Check'!C66,'Step 4 Stage Discharge'!E$26:E$126,1),1))/(INDEX('Step 4 Stage Discharge'!E$26:M$126,MATCH('Step 6 Quality Check'!C66,'Step 4 Stage Discharge'!E$26:E$126,1)+1,1)-INDEX('Step 4 Stage Discharge'!E$26:M$126,MATCH('Step 6 Quality Check'!C66,'Step 4 Stage Discharge'!E$26:E$126,1),1))</f>
        <v>4.3639431710317386E-3</v>
      </c>
      <c r="F66" s="218">
        <f t="shared" si="0"/>
        <v>0</v>
      </c>
      <c r="G66" s="218">
        <f t="shared" si="1"/>
        <v>0</v>
      </c>
    </row>
    <row r="67" spans="1:7">
      <c r="A67" s="217">
        <f t="shared" si="2"/>
        <v>255</v>
      </c>
      <c r="B67" s="216">
        <f t="shared" si="3"/>
        <v>99.1</v>
      </c>
      <c r="C67" s="218">
        <f t="shared" si="4"/>
        <v>0</v>
      </c>
      <c r="D67" s="219">
        <f>INDEX('Step 4 Stage Discharge'!E$26:F$126,MATCH(C67,'Step 4 Stage Discharge'!E$26:E$126,1),2)+(INDEX('Step 4 Stage Discharge'!E$26:F$126,MATCH(C67,'Step 4 Stage Discharge'!E$26:E$126,1)+1,2)-INDEX('Step 4 Stage Discharge'!E$26:F$126,MATCH(C67,'Step 4 Stage Discharge'!E$26:E$126,1),2))*(C67-INDEX('Step 4 Stage Discharge'!E$26:F$126,MATCH(C67,'Step 4 Stage Discharge'!E$26:E$126,1),1))/(INDEX('Step 4 Stage Discharge'!E$26:F$126,MATCH(C67,'Step 4 Stage Discharge'!E$26:E$126,1)+1,1)-INDEX('Step 4 Stage Discharge'!E$26:F$126,MATCH(C67,'Step 4 Stage Discharge'!E$26:E$126,1),1))</f>
        <v>0</v>
      </c>
      <c r="E67" s="219">
        <f>INDEX('Step 4 Stage Discharge'!E$26:M$126,MATCH(C67,'Step 4 Stage Discharge'!E$26:E$126,1),9)+(INDEX('Step 4 Stage Discharge'!E$26:M$126,MATCH('Step 6 Quality Check'!C67,'Step 4 Stage Discharge'!E$26:E$126,1)+1,9)-INDEX('Step 4 Stage Discharge'!E$26:M$126,MATCH('Step 6 Quality Check'!C67,'Step 4 Stage Discharge'!E$26:E$126,1),9))*('Step 6 Quality Check'!C67-INDEX('Step 4 Stage Discharge'!E$26:M$126,MATCH('Step 6 Quality Check'!C67,'Step 4 Stage Discharge'!E$26:E$126,1),1))/(INDEX('Step 4 Stage Discharge'!E$26:M$126,MATCH('Step 6 Quality Check'!C67,'Step 4 Stage Discharge'!E$26:E$126,1)+1,1)-INDEX('Step 4 Stage Discharge'!E$26:M$126,MATCH('Step 6 Quality Check'!C67,'Step 4 Stage Discharge'!E$26:E$126,1),1))</f>
        <v>4.3639431710317386E-3</v>
      </c>
      <c r="F67" s="218">
        <f t="shared" si="0"/>
        <v>0</v>
      </c>
      <c r="G67" s="218">
        <f t="shared" si="1"/>
        <v>0</v>
      </c>
    </row>
    <row r="68" spans="1:7">
      <c r="A68" s="217">
        <f t="shared" si="2"/>
        <v>260</v>
      </c>
      <c r="B68" s="216">
        <f t="shared" si="3"/>
        <v>99.1</v>
      </c>
      <c r="C68" s="218">
        <f t="shared" si="4"/>
        <v>0</v>
      </c>
      <c r="D68" s="219">
        <f>INDEX('Step 4 Stage Discharge'!E$26:F$126,MATCH(C68,'Step 4 Stage Discharge'!E$26:E$126,1),2)+(INDEX('Step 4 Stage Discharge'!E$26:F$126,MATCH(C68,'Step 4 Stage Discharge'!E$26:E$126,1)+1,2)-INDEX('Step 4 Stage Discharge'!E$26:F$126,MATCH(C68,'Step 4 Stage Discharge'!E$26:E$126,1),2))*(C68-INDEX('Step 4 Stage Discharge'!E$26:F$126,MATCH(C68,'Step 4 Stage Discharge'!E$26:E$126,1),1))/(INDEX('Step 4 Stage Discharge'!E$26:F$126,MATCH(C68,'Step 4 Stage Discharge'!E$26:E$126,1)+1,1)-INDEX('Step 4 Stage Discharge'!E$26:F$126,MATCH(C68,'Step 4 Stage Discharge'!E$26:E$126,1),1))</f>
        <v>0</v>
      </c>
      <c r="E68" s="219">
        <f>INDEX('Step 4 Stage Discharge'!E$26:M$126,MATCH(C68,'Step 4 Stage Discharge'!E$26:E$126,1),9)+(INDEX('Step 4 Stage Discharge'!E$26:M$126,MATCH('Step 6 Quality Check'!C68,'Step 4 Stage Discharge'!E$26:E$126,1)+1,9)-INDEX('Step 4 Stage Discharge'!E$26:M$126,MATCH('Step 6 Quality Check'!C68,'Step 4 Stage Discharge'!E$26:E$126,1),9))*('Step 6 Quality Check'!C68-INDEX('Step 4 Stage Discharge'!E$26:M$126,MATCH('Step 6 Quality Check'!C68,'Step 4 Stage Discharge'!E$26:E$126,1),1))/(INDEX('Step 4 Stage Discharge'!E$26:M$126,MATCH('Step 6 Quality Check'!C68,'Step 4 Stage Discharge'!E$26:E$126,1)+1,1)-INDEX('Step 4 Stage Discharge'!E$26:M$126,MATCH('Step 6 Quality Check'!C68,'Step 4 Stage Discharge'!E$26:E$126,1),1))</f>
        <v>4.3639431710317386E-3</v>
      </c>
      <c r="F68" s="218">
        <f t="shared" si="0"/>
        <v>0</v>
      </c>
      <c r="G68" s="218">
        <f t="shared" si="1"/>
        <v>0</v>
      </c>
    </row>
    <row r="69" spans="1:7">
      <c r="A69" s="217">
        <f t="shared" si="2"/>
        <v>265</v>
      </c>
      <c r="B69" s="216">
        <f t="shared" si="3"/>
        <v>99.1</v>
      </c>
      <c r="C69" s="218">
        <f t="shared" si="4"/>
        <v>0</v>
      </c>
      <c r="D69" s="219">
        <f>INDEX('Step 4 Stage Discharge'!E$26:F$126,MATCH(C69,'Step 4 Stage Discharge'!E$26:E$126,1),2)+(INDEX('Step 4 Stage Discharge'!E$26:F$126,MATCH(C69,'Step 4 Stage Discharge'!E$26:E$126,1)+1,2)-INDEX('Step 4 Stage Discharge'!E$26:F$126,MATCH(C69,'Step 4 Stage Discharge'!E$26:E$126,1),2))*(C69-INDEX('Step 4 Stage Discharge'!E$26:F$126,MATCH(C69,'Step 4 Stage Discharge'!E$26:E$126,1),1))/(INDEX('Step 4 Stage Discharge'!E$26:F$126,MATCH(C69,'Step 4 Stage Discharge'!E$26:E$126,1)+1,1)-INDEX('Step 4 Stage Discharge'!E$26:F$126,MATCH(C69,'Step 4 Stage Discharge'!E$26:E$126,1),1))</f>
        <v>0</v>
      </c>
      <c r="E69" s="219">
        <f>INDEX('Step 4 Stage Discharge'!E$26:M$126,MATCH(C69,'Step 4 Stage Discharge'!E$26:E$126,1),9)+(INDEX('Step 4 Stage Discharge'!E$26:M$126,MATCH('Step 6 Quality Check'!C69,'Step 4 Stage Discharge'!E$26:E$126,1)+1,9)-INDEX('Step 4 Stage Discharge'!E$26:M$126,MATCH('Step 6 Quality Check'!C69,'Step 4 Stage Discharge'!E$26:E$126,1),9))*('Step 6 Quality Check'!C69-INDEX('Step 4 Stage Discharge'!E$26:M$126,MATCH('Step 6 Quality Check'!C69,'Step 4 Stage Discharge'!E$26:E$126,1),1))/(INDEX('Step 4 Stage Discharge'!E$26:M$126,MATCH('Step 6 Quality Check'!C69,'Step 4 Stage Discharge'!E$26:E$126,1)+1,1)-INDEX('Step 4 Stage Discharge'!E$26:M$126,MATCH('Step 6 Quality Check'!C69,'Step 4 Stage Discharge'!E$26:E$126,1),1))</f>
        <v>4.3639431710317386E-3</v>
      </c>
      <c r="F69" s="218">
        <f t="shared" si="0"/>
        <v>0</v>
      </c>
      <c r="G69" s="218">
        <f t="shared" si="1"/>
        <v>0</v>
      </c>
    </row>
    <row r="70" spans="1:7">
      <c r="A70" s="217">
        <f t="shared" si="2"/>
        <v>270</v>
      </c>
      <c r="B70" s="216">
        <f t="shared" si="3"/>
        <v>99.1</v>
      </c>
      <c r="C70" s="218">
        <f t="shared" si="4"/>
        <v>0</v>
      </c>
      <c r="D70" s="219">
        <f>INDEX('Step 4 Stage Discharge'!E$26:F$126,MATCH(C70,'Step 4 Stage Discharge'!E$26:E$126,1),2)+(INDEX('Step 4 Stage Discharge'!E$26:F$126,MATCH(C70,'Step 4 Stage Discharge'!E$26:E$126,1)+1,2)-INDEX('Step 4 Stage Discharge'!E$26:F$126,MATCH(C70,'Step 4 Stage Discharge'!E$26:E$126,1),2))*(C70-INDEX('Step 4 Stage Discharge'!E$26:F$126,MATCH(C70,'Step 4 Stage Discharge'!E$26:E$126,1),1))/(INDEX('Step 4 Stage Discharge'!E$26:F$126,MATCH(C70,'Step 4 Stage Discharge'!E$26:E$126,1)+1,1)-INDEX('Step 4 Stage Discharge'!E$26:F$126,MATCH(C70,'Step 4 Stage Discharge'!E$26:E$126,1),1))</f>
        <v>0</v>
      </c>
      <c r="E70" s="219">
        <f>INDEX('Step 4 Stage Discharge'!E$26:M$126,MATCH(C70,'Step 4 Stage Discharge'!E$26:E$126,1),9)+(INDEX('Step 4 Stage Discharge'!E$26:M$126,MATCH('Step 6 Quality Check'!C70,'Step 4 Stage Discharge'!E$26:E$126,1)+1,9)-INDEX('Step 4 Stage Discharge'!E$26:M$126,MATCH('Step 6 Quality Check'!C70,'Step 4 Stage Discharge'!E$26:E$126,1),9))*('Step 6 Quality Check'!C70-INDEX('Step 4 Stage Discharge'!E$26:M$126,MATCH('Step 6 Quality Check'!C70,'Step 4 Stage Discharge'!E$26:E$126,1),1))/(INDEX('Step 4 Stage Discharge'!E$26:M$126,MATCH('Step 6 Quality Check'!C70,'Step 4 Stage Discharge'!E$26:E$126,1)+1,1)-INDEX('Step 4 Stage Discharge'!E$26:M$126,MATCH('Step 6 Quality Check'!C70,'Step 4 Stage Discharge'!E$26:E$126,1),1))</f>
        <v>4.3639431710317386E-3</v>
      </c>
      <c r="F70" s="218">
        <f t="shared" si="0"/>
        <v>0</v>
      </c>
      <c r="G70" s="218">
        <f t="shared" si="1"/>
        <v>0</v>
      </c>
    </row>
    <row r="71" spans="1:7">
      <c r="A71" s="217">
        <f t="shared" si="2"/>
        <v>275</v>
      </c>
      <c r="B71" s="216">
        <f t="shared" si="3"/>
        <v>99.1</v>
      </c>
      <c r="C71" s="218">
        <f t="shared" si="4"/>
        <v>0</v>
      </c>
      <c r="D71" s="219">
        <f>INDEX('Step 4 Stage Discharge'!E$26:F$126,MATCH(C71,'Step 4 Stage Discharge'!E$26:E$126,1),2)+(INDEX('Step 4 Stage Discharge'!E$26:F$126,MATCH(C71,'Step 4 Stage Discharge'!E$26:E$126,1)+1,2)-INDEX('Step 4 Stage Discharge'!E$26:F$126,MATCH(C71,'Step 4 Stage Discharge'!E$26:E$126,1),2))*(C71-INDEX('Step 4 Stage Discharge'!E$26:F$126,MATCH(C71,'Step 4 Stage Discharge'!E$26:E$126,1),1))/(INDEX('Step 4 Stage Discharge'!E$26:F$126,MATCH(C71,'Step 4 Stage Discharge'!E$26:E$126,1)+1,1)-INDEX('Step 4 Stage Discharge'!E$26:F$126,MATCH(C71,'Step 4 Stage Discharge'!E$26:E$126,1),1))</f>
        <v>0</v>
      </c>
      <c r="E71" s="219">
        <f>INDEX('Step 4 Stage Discharge'!E$26:M$126,MATCH(C71,'Step 4 Stage Discharge'!E$26:E$126,1),9)+(INDEX('Step 4 Stage Discharge'!E$26:M$126,MATCH('Step 6 Quality Check'!C71,'Step 4 Stage Discharge'!E$26:E$126,1)+1,9)-INDEX('Step 4 Stage Discharge'!E$26:M$126,MATCH('Step 6 Quality Check'!C71,'Step 4 Stage Discharge'!E$26:E$126,1),9))*('Step 6 Quality Check'!C71-INDEX('Step 4 Stage Discharge'!E$26:M$126,MATCH('Step 6 Quality Check'!C71,'Step 4 Stage Discharge'!E$26:E$126,1),1))/(INDEX('Step 4 Stage Discharge'!E$26:M$126,MATCH('Step 6 Quality Check'!C71,'Step 4 Stage Discharge'!E$26:E$126,1)+1,1)-INDEX('Step 4 Stage Discharge'!E$26:M$126,MATCH('Step 6 Quality Check'!C71,'Step 4 Stage Discharge'!E$26:E$126,1),1))</f>
        <v>4.3639431710317386E-3</v>
      </c>
      <c r="F71" s="218">
        <f t="shared" si="0"/>
        <v>0</v>
      </c>
      <c r="G71" s="218">
        <f t="shared" si="1"/>
        <v>0</v>
      </c>
    </row>
    <row r="72" spans="1:7">
      <c r="A72" s="217">
        <f t="shared" si="2"/>
        <v>280</v>
      </c>
      <c r="B72" s="216">
        <f t="shared" si="3"/>
        <v>99.1</v>
      </c>
      <c r="C72" s="218">
        <f t="shared" si="4"/>
        <v>0</v>
      </c>
      <c r="D72" s="219">
        <f>INDEX('Step 4 Stage Discharge'!E$26:F$126,MATCH(C72,'Step 4 Stage Discharge'!E$26:E$126,1),2)+(INDEX('Step 4 Stage Discharge'!E$26:F$126,MATCH(C72,'Step 4 Stage Discharge'!E$26:E$126,1)+1,2)-INDEX('Step 4 Stage Discharge'!E$26:F$126,MATCH(C72,'Step 4 Stage Discharge'!E$26:E$126,1),2))*(C72-INDEX('Step 4 Stage Discharge'!E$26:F$126,MATCH(C72,'Step 4 Stage Discharge'!E$26:E$126,1),1))/(INDEX('Step 4 Stage Discharge'!E$26:F$126,MATCH(C72,'Step 4 Stage Discharge'!E$26:E$126,1)+1,1)-INDEX('Step 4 Stage Discharge'!E$26:F$126,MATCH(C72,'Step 4 Stage Discharge'!E$26:E$126,1),1))</f>
        <v>0</v>
      </c>
      <c r="E72" s="219">
        <f>INDEX('Step 4 Stage Discharge'!E$26:M$126,MATCH(C72,'Step 4 Stage Discharge'!E$26:E$126,1),9)+(INDEX('Step 4 Stage Discharge'!E$26:M$126,MATCH('Step 6 Quality Check'!C72,'Step 4 Stage Discharge'!E$26:E$126,1)+1,9)-INDEX('Step 4 Stage Discharge'!E$26:M$126,MATCH('Step 6 Quality Check'!C72,'Step 4 Stage Discharge'!E$26:E$126,1),9))*('Step 6 Quality Check'!C72-INDEX('Step 4 Stage Discharge'!E$26:M$126,MATCH('Step 6 Quality Check'!C72,'Step 4 Stage Discharge'!E$26:E$126,1),1))/(INDEX('Step 4 Stage Discharge'!E$26:M$126,MATCH('Step 6 Quality Check'!C72,'Step 4 Stage Discharge'!E$26:E$126,1)+1,1)-INDEX('Step 4 Stage Discharge'!E$26:M$126,MATCH('Step 6 Quality Check'!C72,'Step 4 Stage Discharge'!E$26:E$126,1),1))</f>
        <v>4.3639431710317386E-3</v>
      </c>
      <c r="F72" s="218">
        <f t="shared" si="0"/>
        <v>0</v>
      </c>
      <c r="G72" s="218">
        <f t="shared" si="1"/>
        <v>0</v>
      </c>
    </row>
    <row r="73" spans="1:7">
      <c r="A73" s="217">
        <f t="shared" si="2"/>
        <v>285</v>
      </c>
      <c r="B73" s="216">
        <f t="shared" si="3"/>
        <v>99.1</v>
      </c>
      <c r="C73" s="218">
        <f t="shared" si="4"/>
        <v>0</v>
      </c>
      <c r="D73" s="219">
        <f>INDEX('Step 4 Stage Discharge'!E$26:F$126,MATCH(C73,'Step 4 Stage Discharge'!E$26:E$126,1),2)+(INDEX('Step 4 Stage Discharge'!E$26:F$126,MATCH(C73,'Step 4 Stage Discharge'!E$26:E$126,1)+1,2)-INDEX('Step 4 Stage Discharge'!E$26:F$126,MATCH(C73,'Step 4 Stage Discharge'!E$26:E$126,1),2))*(C73-INDEX('Step 4 Stage Discharge'!E$26:F$126,MATCH(C73,'Step 4 Stage Discharge'!E$26:E$126,1),1))/(INDEX('Step 4 Stage Discharge'!E$26:F$126,MATCH(C73,'Step 4 Stage Discharge'!E$26:E$126,1)+1,1)-INDEX('Step 4 Stage Discharge'!E$26:F$126,MATCH(C73,'Step 4 Stage Discharge'!E$26:E$126,1),1))</f>
        <v>0</v>
      </c>
      <c r="E73" s="219">
        <f>INDEX('Step 4 Stage Discharge'!E$26:M$126,MATCH(C73,'Step 4 Stage Discharge'!E$26:E$126,1),9)+(INDEX('Step 4 Stage Discharge'!E$26:M$126,MATCH('Step 6 Quality Check'!C73,'Step 4 Stage Discharge'!E$26:E$126,1)+1,9)-INDEX('Step 4 Stage Discharge'!E$26:M$126,MATCH('Step 6 Quality Check'!C73,'Step 4 Stage Discharge'!E$26:E$126,1),9))*('Step 6 Quality Check'!C73-INDEX('Step 4 Stage Discharge'!E$26:M$126,MATCH('Step 6 Quality Check'!C73,'Step 4 Stage Discharge'!E$26:E$126,1),1))/(INDEX('Step 4 Stage Discharge'!E$26:M$126,MATCH('Step 6 Quality Check'!C73,'Step 4 Stage Discharge'!E$26:E$126,1)+1,1)-INDEX('Step 4 Stage Discharge'!E$26:M$126,MATCH('Step 6 Quality Check'!C73,'Step 4 Stage Discharge'!E$26:E$126,1),1))</f>
        <v>4.3639431710317386E-3</v>
      </c>
      <c r="F73" s="218">
        <f t="shared" si="0"/>
        <v>0</v>
      </c>
      <c r="G73" s="218">
        <f t="shared" si="1"/>
        <v>0</v>
      </c>
    </row>
    <row r="74" spans="1:7">
      <c r="A74" s="217">
        <f t="shared" si="2"/>
        <v>290</v>
      </c>
      <c r="B74" s="216">
        <f t="shared" si="3"/>
        <v>99.1</v>
      </c>
      <c r="C74" s="218">
        <f t="shared" si="4"/>
        <v>0</v>
      </c>
      <c r="D74" s="219">
        <f>INDEX('Step 4 Stage Discharge'!E$26:F$126,MATCH(C74,'Step 4 Stage Discharge'!E$26:E$126,1),2)+(INDEX('Step 4 Stage Discharge'!E$26:F$126,MATCH(C74,'Step 4 Stage Discharge'!E$26:E$126,1)+1,2)-INDEX('Step 4 Stage Discharge'!E$26:F$126,MATCH(C74,'Step 4 Stage Discharge'!E$26:E$126,1),2))*(C74-INDEX('Step 4 Stage Discharge'!E$26:F$126,MATCH(C74,'Step 4 Stage Discharge'!E$26:E$126,1),1))/(INDEX('Step 4 Stage Discharge'!E$26:F$126,MATCH(C74,'Step 4 Stage Discharge'!E$26:E$126,1)+1,1)-INDEX('Step 4 Stage Discharge'!E$26:F$126,MATCH(C74,'Step 4 Stage Discharge'!E$26:E$126,1),1))</f>
        <v>0</v>
      </c>
      <c r="E74" s="219">
        <f>INDEX('Step 4 Stage Discharge'!E$26:M$126,MATCH(C74,'Step 4 Stage Discharge'!E$26:E$126,1),9)+(INDEX('Step 4 Stage Discharge'!E$26:M$126,MATCH('Step 6 Quality Check'!C74,'Step 4 Stage Discharge'!E$26:E$126,1)+1,9)-INDEX('Step 4 Stage Discharge'!E$26:M$126,MATCH('Step 6 Quality Check'!C74,'Step 4 Stage Discharge'!E$26:E$126,1),9))*('Step 6 Quality Check'!C74-INDEX('Step 4 Stage Discharge'!E$26:M$126,MATCH('Step 6 Quality Check'!C74,'Step 4 Stage Discharge'!E$26:E$126,1),1))/(INDEX('Step 4 Stage Discharge'!E$26:M$126,MATCH('Step 6 Quality Check'!C74,'Step 4 Stage Discharge'!E$26:E$126,1)+1,1)-INDEX('Step 4 Stage Discharge'!E$26:M$126,MATCH('Step 6 Quality Check'!C74,'Step 4 Stage Discharge'!E$26:E$126,1),1))</f>
        <v>4.3639431710317386E-3</v>
      </c>
      <c r="F74" s="218">
        <f t="shared" si="0"/>
        <v>0</v>
      </c>
      <c r="G74" s="218">
        <f t="shared" si="1"/>
        <v>0</v>
      </c>
    </row>
    <row r="75" spans="1:7">
      <c r="A75" s="217">
        <f t="shared" si="2"/>
        <v>295</v>
      </c>
      <c r="B75" s="216">
        <f t="shared" si="3"/>
        <v>99.1</v>
      </c>
      <c r="C75" s="218">
        <f t="shared" si="4"/>
        <v>0</v>
      </c>
      <c r="D75" s="219">
        <f>INDEX('Step 4 Stage Discharge'!E$26:F$126,MATCH(C75,'Step 4 Stage Discharge'!E$26:E$126,1),2)+(INDEX('Step 4 Stage Discharge'!E$26:F$126,MATCH(C75,'Step 4 Stage Discharge'!E$26:E$126,1)+1,2)-INDEX('Step 4 Stage Discharge'!E$26:F$126,MATCH(C75,'Step 4 Stage Discharge'!E$26:E$126,1),2))*(C75-INDEX('Step 4 Stage Discharge'!E$26:F$126,MATCH(C75,'Step 4 Stage Discharge'!E$26:E$126,1),1))/(INDEX('Step 4 Stage Discharge'!E$26:F$126,MATCH(C75,'Step 4 Stage Discharge'!E$26:E$126,1)+1,1)-INDEX('Step 4 Stage Discharge'!E$26:F$126,MATCH(C75,'Step 4 Stage Discharge'!E$26:E$126,1),1))</f>
        <v>0</v>
      </c>
      <c r="E75" s="219">
        <f>INDEX('Step 4 Stage Discharge'!E$26:M$126,MATCH(C75,'Step 4 Stage Discharge'!E$26:E$126,1),9)+(INDEX('Step 4 Stage Discharge'!E$26:M$126,MATCH('Step 6 Quality Check'!C75,'Step 4 Stage Discharge'!E$26:E$126,1)+1,9)-INDEX('Step 4 Stage Discharge'!E$26:M$126,MATCH('Step 6 Quality Check'!C75,'Step 4 Stage Discharge'!E$26:E$126,1),9))*('Step 6 Quality Check'!C75-INDEX('Step 4 Stage Discharge'!E$26:M$126,MATCH('Step 6 Quality Check'!C75,'Step 4 Stage Discharge'!E$26:E$126,1),1))/(INDEX('Step 4 Stage Discharge'!E$26:M$126,MATCH('Step 6 Quality Check'!C75,'Step 4 Stage Discharge'!E$26:E$126,1)+1,1)-INDEX('Step 4 Stage Discharge'!E$26:M$126,MATCH('Step 6 Quality Check'!C75,'Step 4 Stage Discharge'!E$26:E$126,1),1))</f>
        <v>4.3639431710317386E-3</v>
      </c>
      <c r="F75" s="218">
        <f t="shared" si="0"/>
        <v>0</v>
      </c>
      <c r="G75" s="218">
        <f t="shared" si="1"/>
        <v>0</v>
      </c>
    </row>
    <row r="76" spans="1:7">
      <c r="A76" s="217">
        <f t="shared" si="2"/>
        <v>300</v>
      </c>
      <c r="B76" s="216">
        <f t="shared" si="3"/>
        <v>99.1</v>
      </c>
      <c r="C76" s="218">
        <f t="shared" si="4"/>
        <v>0</v>
      </c>
      <c r="D76" s="219">
        <f>INDEX('Step 4 Stage Discharge'!E$26:F$126,MATCH(C76,'Step 4 Stage Discharge'!E$26:E$126,1),2)+(INDEX('Step 4 Stage Discharge'!E$26:F$126,MATCH(C76,'Step 4 Stage Discharge'!E$26:E$126,1)+1,2)-INDEX('Step 4 Stage Discharge'!E$26:F$126,MATCH(C76,'Step 4 Stage Discharge'!E$26:E$126,1),2))*(C76-INDEX('Step 4 Stage Discharge'!E$26:F$126,MATCH(C76,'Step 4 Stage Discharge'!E$26:E$126,1),1))/(INDEX('Step 4 Stage Discharge'!E$26:F$126,MATCH(C76,'Step 4 Stage Discharge'!E$26:E$126,1)+1,1)-INDEX('Step 4 Stage Discharge'!E$26:F$126,MATCH(C76,'Step 4 Stage Discharge'!E$26:E$126,1),1))</f>
        <v>0</v>
      </c>
      <c r="E76" s="219">
        <f>INDEX('Step 4 Stage Discharge'!E$26:M$126,MATCH(C76,'Step 4 Stage Discharge'!E$26:E$126,1),9)+(INDEX('Step 4 Stage Discharge'!E$26:M$126,MATCH('Step 6 Quality Check'!C76,'Step 4 Stage Discharge'!E$26:E$126,1)+1,9)-INDEX('Step 4 Stage Discharge'!E$26:M$126,MATCH('Step 6 Quality Check'!C76,'Step 4 Stage Discharge'!E$26:E$126,1),9))*('Step 6 Quality Check'!C76-INDEX('Step 4 Stage Discharge'!E$26:M$126,MATCH('Step 6 Quality Check'!C76,'Step 4 Stage Discharge'!E$26:E$126,1),1))/(INDEX('Step 4 Stage Discharge'!E$26:M$126,MATCH('Step 6 Quality Check'!C76,'Step 4 Stage Discharge'!E$26:E$126,1)+1,1)-INDEX('Step 4 Stage Discharge'!E$26:M$126,MATCH('Step 6 Quality Check'!C76,'Step 4 Stage Discharge'!E$26:E$126,1),1))</f>
        <v>4.3639431710317386E-3</v>
      </c>
      <c r="F76" s="218">
        <f t="shared" si="0"/>
        <v>0</v>
      </c>
      <c r="G76" s="218">
        <f t="shared" si="1"/>
        <v>0</v>
      </c>
    </row>
    <row r="77" spans="1:7">
      <c r="A77" s="217">
        <f t="shared" si="2"/>
        <v>305</v>
      </c>
      <c r="B77" s="216">
        <f t="shared" si="3"/>
        <v>99.1</v>
      </c>
      <c r="C77" s="218">
        <f t="shared" si="4"/>
        <v>0</v>
      </c>
      <c r="D77" s="219">
        <f>INDEX('Step 4 Stage Discharge'!E$26:F$126,MATCH(C77,'Step 4 Stage Discharge'!E$26:E$126,1),2)+(INDEX('Step 4 Stage Discharge'!E$26:F$126,MATCH(C77,'Step 4 Stage Discharge'!E$26:E$126,1)+1,2)-INDEX('Step 4 Stage Discharge'!E$26:F$126,MATCH(C77,'Step 4 Stage Discharge'!E$26:E$126,1),2))*(C77-INDEX('Step 4 Stage Discharge'!E$26:F$126,MATCH(C77,'Step 4 Stage Discharge'!E$26:E$126,1),1))/(INDEX('Step 4 Stage Discharge'!E$26:F$126,MATCH(C77,'Step 4 Stage Discharge'!E$26:E$126,1)+1,1)-INDEX('Step 4 Stage Discharge'!E$26:F$126,MATCH(C77,'Step 4 Stage Discharge'!E$26:E$126,1),1))</f>
        <v>0</v>
      </c>
      <c r="E77" s="219">
        <f>INDEX('Step 4 Stage Discharge'!E$26:M$126,MATCH(C77,'Step 4 Stage Discharge'!E$26:E$126,1),9)+(INDEX('Step 4 Stage Discharge'!E$26:M$126,MATCH('Step 6 Quality Check'!C77,'Step 4 Stage Discharge'!E$26:E$126,1)+1,9)-INDEX('Step 4 Stage Discharge'!E$26:M$126,MATCH('Step 6 Quality Check'!C77,'Step 4 Stage Discharge'!E$26:E$126,1),9))*('Step 6 Quality Check'!C77-INDEX('Step 4 Stage Discharge'!E$26:M$126,MATCH('Step 6 Quality Check'!C77,'Step 4 Stage Discharge'!E$26:E$126,1),1))/(INDEX('Step 4 Stage Discharge'!E$26:M$126,MATCH('Step 6 Quality Check'!C77,'Step 4 Stage Discharge'!E$26:E$126,1)+1,1)-INDEX('Step 4 Stage Discharge'!E$26:M$126,MATCH('Step 6 Quality Check'!C77,'Step 4 Stage Discharge'!E$26:E$126,1),1))</f>
        <v>4.3639431710317386E-3</v>
      </c>
      <c r="F77" s="218">
        <f t="shared" si="0"/>
        <v>0</v>
      </c>
      <c r="G77" s="218">
        <f t="shared" si="1"/>
        <v>0</v>
      </c>
    </row>
    <row r="78" spans="1:7">
      <c r="A78" s="217">
        <f t="shared" si="2"/>
        <v>310</v>
      </c>
      <c r="B78" s="216">
        <f t="shared" si="3"/>
        <v>99.1</v>
      </c>
      <c r="C78" s="218">
        <f t="shared" si="4"/>
        <v>0</v>
      </c>
      <c r="D78" s="219">
        <f>INDEX('Step 4 Stage Discharge'!E$26:F$126,MATCH(C78,'Step 4 Stage Discharge'!E$26:E$126,1),2)+(INDEX('Step 4 Stage Discharge'!E$26:F$126,MATCH(C78,'Step 4 Stage Discharge'!E$26:E$126,1)+1,2)-INDEX('Step 4 Stage Discharge'!E$26:F$126,MATCH(C78,'Step 4 Stage Discharge'!E$26:E$126,1),2))*(C78-INDEX('Step 4 Stage Discharge'!E$26:F$126,MATCH(C78,'Step 4 Stage Discharge'!E$26:E$126,1),1))/(INDEX('Step 4 Stage Discharge'!E$26:F$126,MATCH(C78,'Step 4 Stage Discharge'!E$26:E$126,1)+1,1)-INDEX('Step 4 Stage Discharge'!E$26:F$126,MATCH(C78,'Step 4 Stage Discharge'!E$26:E$126,1),1))</f>
        <v>0</v>
      </c>
      <c r="E78" s="219">
        <f>INDEX('Step 4 Stage Discharge'!E$26:M$126,MATCH(C78,'Step 4 Stage Discharge'!E$26:E$126,1),9)+(INDEX('Step 4 Stage Discharge'!E$26:M$126,MATCH('Step 6 Quality Check'!C78,'Step 4 Stage Discharge'!E$26:E$126,1)+1,9)-INDEX('Step 4 Stage Discharge'!E$26:M$126,MATCH('Step 6 Quality Check'!C78,'Step 4 Stage Discharge'!E$26:E$126,1),9))*('Step 6 Quality Check'!C78-INDEX('Step 4 Stage Discharge'!E$26:M$126,MATCH('Step 6 Quality Check'!C78,'Step 4 Stage Discharge'!E$26:E$126,1),1))/(INDEX('Step 4 Stage Discharge'!E$26:M$126,MATCH('Step 6 Quality Check'!C78,'Step 4 Stage Discharge'!E$26:E$126,1)+1,1)-INDEX('Step 4 Stage Discharge'!E$26:M$126,MATCH('Step 6 Quality Check'!C78,'Step 4 Stage Discharge'!E$26:E$126,1),1))</f>
        <v>4.3639431710317386E-3</v>
      </c>
      <c r="F78" s="218">
        <f t="shared" si="0"/>
        <v>0</v>
      </c>
      <c r="G78" s="218">
        <f t="shared" si="1"/>
        <v>0</v>
      </c>
    </row>
    <row r="79" spans="1:7">
      <c r="A79" s="217">
        <f t="shared" si="2"/>
        <v>315</v>
      </c>
      <c r="B79" s="216">
        <f t="shared" si="3"/>
        <v>99.1</v>
      </c>
      <c r="C79" s="218">
        <f t="shared" si="4"/>
        <v>0</v>
      </c>
      <c r="D79" s="219">
        <f>INDEX('Step 4 Stage Discharge'!E$26:F$126,MATCH(C79,'Step 4 Stage Discharge'!E$26:E$126,1),2)+(INDEX('Step 4 Stage Discharge'!E$26:F$126,MATCH(C79,'Step 4 Stage Discharge'!E$26:E$126,1)+1,2)-INDEX('Step 4 Stage Discharge'!E$26:F$126,MATCH(C79,'Step 4 Stage Discharge'!E$26:E$126,1),2))*(C79-INDEX('Step 4 Stage Discharge'!E$26:F$126,MATCH(C79,'Step 4 Stage Discharge'!E$26:E$126,1),1))/(INDEX('Step 4 Stage Discharge'!E$26:F$126,MATCH(C79,'Step 4 Stage Discharge'!E$26:E$126,1)+1,1)-INDEX('Step 4 Stage Discharge'!E$26:F$126,MATCH(C79,'Step 4 Stage Discharge'!E$26:E$126,1),1))</f>
        <v>0</v>
      </c>
      <c r="E79" s="219">
        <f>INDEX('Step 4 Stage Discharge'!E$26:M$126,MATCH(C79,'Step 4 Stage Discharge'!E$26:E$126,1),9)+(INDEX('Step 4 Stage Discharge'!E$26:M$126,MATCH('Step 6 Quality Check'!C79,'Step 4 Stage Discharge'!E$26:E$126,1)+1,9)-INDEX('Step 4 Stage Discharge'!E$26:M$126,MATCH('Step 6 Quality Check'!C79,'Step 4 Stage Discharge'!E$26:E$126,1),9))*('Step 6 Quality Check'!C79-INDEX('Step 4 Stage Discharge'!E$26:M$126,MATCH('Step 6 Quality Check'!C79,'Step 4 Stage Discharge'!E$26:E$126,1),1))/(INDEX('Step 4 Stage Discharge'!E$26:M$126,MATCH('Step 6 Quality Check'!C79,'Step 4 Stage Discharge'!E$26:E$126,1)+1,1)-INDEX('Step 4 Stage Discharge'!E$26:M$126,MATCH('Step 6 Quality Check'!C79,'Step 4 Stage Discharge'!E$26:E$126,1),1))</f>
        <v>4.3639431710317386E-3</v>
      </c>
      <c r="F79" s="218">
        <f t="shared" si="0"/>
        <v>0</v>
      </c>
      <c r="G79" s="218">
        <f t="shared" si="1"/>
        <v>0</v>
      </c>
    </row>
    <row r="80" spans="1:7">
      <c r="A80" s="217">
        <f t="shared" si="2"/>
        <v>320</v>
      </c>
      <c r="B80" s="216">
        <f t="shared" si="3"/>
        <v>99.1</v>
      </c>
      <c r="C80" s="218">
        <f t="shared" si="4"/>
        <v>0</v>
      </c>
      <c r="D80" s="219">
        <f>INDEX('Step 4 Stage Discharge'!E$26:F$126,MATCH(C80,'Step 4 Stage Discharge'!E$26:E$126,1),2)+(INDEX('Step 4 Stage Discharge'!E$26:F$126,MATCH(C80,'Step 4 Stage Discharge'!E$26:E$126,1)+1,2)-INDEX('Step 4 Stage Discharge'!E$26:F$126,MATCH(C80,'Step 4 Stage Discharge'!E$26:E$126,1),2))*(C80-INDEX('Step 4 Stage Discharge'!E$26:F$126,MATCH(C80,'Step 4 Stage Discharge'!E$26:E$126,1),1))/(INDEX('Step 4 Stage Discharge'!E$26:F$126,MATCH(C80,'Step 4 Stage Discharge'!E$26:E$126,1)+1,1)-INDEX('Step 4 Stage Discharge'!E$26:F$126,MATCH(C80,'Step 4 Stage Discharge'!E$26:E$126,1),1))</f>
        <v>0</v>
      </c>
      <c r="E80" s="219">
        <f>INDEX('Step 4 Stage Discharge'!E$26:M$126,MATCH(C80,'Step 4 Stage Discharge'!E$26:E$126,1),9)+(INDEX('Step 4 Stage Discharge'!E$26:M$126,MATCH('Step 6 Quality Check'!C80,'Step 4 Stage Discharge'!E$26:E$126,1)+1,9)-INDEX('Step 4 Stage Discharge'!E$26:M$126,MATCH('Step 6 Quality Check'!C80,'Step 4 Stage Discharge'!E$26:E$126,1),9))*('Step 6 Quality Check'!C80-INDEX('Step 4 Stage Discharge'!E$26:M$126,MATCH('Step 6 Quality Check'!C80,'Step 4 Stage Discharge'!E$26:E$126,1),1))/(INDEX('Step 4 Stage Discharge'!E$26:M$126,MATCH('Step 6 Quality Check'!C80,'Step 4 Stage Discharge'!E$26:E$126,1)+1,1)-INDEX('Step 4 Stage Discharge'!E$26:M$126,MATCH('Step 6 Quality Check'!C80,'Step 4 Stage Discharge'!E$26:E$126,1),1))</f>
        <v>4.3639431710317386E-3</v>
      </c>
      <c r="F80" s="218">
        <f t="shared" ref="F80:F143" si="5">IF(E80*60*C$9&gt;C80,C80,E80*60*C$9)</f>
        <v>0</v>
      </c>
      <c r="G80" s="218">
        <f t="shared" ref="G80:G143" si="6">IF(C80-F80&lt;0,0,C80-F80)</f>
        <v>0</v>
      </c>
    </row>
    <row r="81" spans="1:7">
      <c r="A81" s="217">
        <f t="shared" ref="A81:A144" si="7">+A80+C$9</f>
        <v>325</v>
      </c>
      <c r="B81" s="216">
        <f t="shared" si="3"/>
        <v>99.1</v>
      </c>
      <c r="C81" s="218">
        <f t="shared" si="4"/>
        <v>0</v>
      </c>
      <c r="D81" s="219">
        <f>INDEX('Step 4 Stage Discharge'!E$26:F$126,MATCH(C81,'Step 4 Stage Discharge'!E$26:E$126,1),2)+(INDEX('Step 4 Stage Discharge'!E$26:F$126,MATCH(C81,'Step 4 Stage Discharge'!E$26:E$126,1)+1,2)-INDEX('Step 4 Stage Discharge'!E$26:F$126,MATCH(C81,'Step 4 Stage Discharge'!E$26:E$126,1),2))*(C81-INDEX('Step 4 Stage Discharge'!E$26:F$126,MATCH(C81,'Step 4 Stage Discharge'!E$26:E$126,1),1))/(INDEX('Step 4 Stage Discharge'!E$26:F$126,MATCH(C81,'Step 4 Stage Discharge'!E$26:E$126,1)+1,1)-INDEX('Step 4 Stage Discharge'!E$26:F$126,MATCH(C81,'Step 4 Stage Discharge'!E$26:E$126,1),1))</f>
        <v>0</v>
      </c>
      <c r="E81" s="219">
        <f>INDEX('Step 4 Stage Discharge'!E$26:M$126,MATCH(C81,'Step 4 Stage Discharge'!E$26:E$126,1),9)+(INDEX('Step 4 Stage Discharge'!E$26:M$126,MATCH('Step 6 Quality Check'!C81,'Step 4 Stage Discharge'!E$26:E$126,1)+1,9)-INDEX('Step 4 Stage Discharge'!E$26:M$126,MATCH('Step 6 Quality Check'!C81,'Step 4 Stage Discharge'!E$26:E$126,1),9))*('Step 6 Quality Check'!C81-INDEX('Step 4 Stage Discharge'!E$26:M$126,MATCH('Step 6 Quality Check'!C81,'Step 4 Stage Discharge'!E$26:E$126,1),1))/(INDEX('Step 4 Stage Discharge'!E$26:M$126,MATCH('Step 6 Quality Check'!C81,'Step 4 Stage Discharge'!E$26:E$126,1)+1,1)-INDEX('Step 4 Stage Discharge'!E$26:M$126,MATCH('Step 6 Quality Check'!C81,'Step 4 Stage Discharge'!E$26:E$126,1),1))</f>
        <v>4.3639431710317386E-3</v>
      </c>
      <c r="F81" s="218">
        <f t="shared" si="5"/>
        <v>0</v>
      </c>
      <c r="G81" s="218">
        <f t="shared" si="6"/>
        <v>0</v>
      </c>
    </row>
    <row r="82" spans="1:7">
      <c r="A82" s="217">
        <f t="shared" si="7"/>
        <v>330</v>
      </c>
      <c r="B82" s="216">
        <f t="shared" ref="B82:B145" si="8">C$6+D82</f>
        <v>99.1</v>
      </c>
      <c r="C82" s="218">
        <f t="shared" ref="C82:C145" si="9">+G81</f>
        <v>0</v>
      </c>
      <c r="D82" s="219">
        <f>INDEX('Step 4 Stage Discharge'!E$26:F$126,MATCH(C82,'Step 4 Stage Discharge'!E$26:E$126,1),2)+(INDEX('Step 4 Stage Discharge'!E$26:F$126,MATCH(C82,'Step 4 Stage Discharge'!E$26:E$126,1)+1,2)-INDEX('Step 4 Stage Discharge'!E$26:F$126,MATCH(C82,'Step 4 Stage Discharge'!E$26:E$126,1),2))*(C82-INDEX('Step 4 Stage Discharge'!E$26:F$126,MATCH(C82,'Step 4 Stage Discharge'!E$26:E$126,1),1))/(INDEX('Step 4 Stage Discharge'!E$26:F$126,MATCH(C82,'Step 4 Stage Discharge'!E$26:E$126,1)+1,1)-INDEX('Step 4 Stage Discharge'!E$26:F$126,MATCH(C82,'Step 4 Stage Discharge'!E$26:E$126,1),1))</f>
        <v>0</v>
      </c>
      <c r="E82" s="219">
        <f>INDEX('Step 4 Stage Discharge'!E$26:M$126,MATCH(C82,'Step 4 Stage Discharge'!E$26:E$126,1),9)+(INDEX('Step 4 Stage Discharge'!E$26:M$126,MATCH('Step 6 Quality Check'!C82,'Step 4 Stage Discharge'!E$26:E$126,1)+1,9)-INDEX('Step 4 Stage Discharge'!E$26:M$126,MATCH('Step 6 Quality Check'!C82,'Step 4 Stage Discharge'!E$26:E$126,1),9))*('Step 6 Quality Check'!C82-INDEX('Step 4 Stage Discharge'!E$26:M$126,MATCH('Step 6 Quality Check'!C82,'Step 4 Stage Discharge'!E$26:E$126,1),1))/(INDEX('Step 4 Stage Discharge'!E$26:M$126,MATCH('Step 6 Quality Check'!C82,'Step 4 Stage Discharge'!E$26:E$126,1)+1,1)-INDEX('Step 4 Stage Discharge'!E$26:M$126,MATCH('Step 6 Quality Check'!C82,'Step 4 Stage Discharge'!E$26:E$126,1),1))</f>
        <v>4.3639431710317386E-3</v>
      </c>
      <c r="F82" s="218">
        <f t="shared" si="5"/>
        <v>0</v>
      </c>
      <c r="G82" s="218">
        <f t="shared" si="6"/>
        <v>0</v>
      </c>
    </row>
    <row r="83" spans="1:7">
      <c r="A83" s="217">
        <f t="shared" si="7"/>
        <v>335</v>
      </c>
      <c r="B83" s="216">
        <f t="shared" si="8"/>
        <v>99.1</v>
      </c>
      <c r="C83" s="218">
        <f t="shared" si="9"/>
        <v>0</v>
      </c>
      <c r="D83" s="219">
        <f>INDEX('Step 4 Stage Discharge'!E$26:F$126,MATCH(C83,'Step 4 Stage Discharge'!E$26:E$126,1),2)+(INDEX('Step 4 Stage Discharge'!E$26:F$126,MATCH(C83,'Step 4 Stage Discharge'!E$26:E$126,1)+1,2)-INDEX('Step 4 Stage Discharge'!E$26:F$126,MATCH(C83,'Step 4 Stage Discharge'!E$26:E$126,1),2))*(C83-INDEX('Step 4 Stage Discharge'!E$26:F$126,MATCH(C83,'Step 4 Stage Discharge'!E$26:E$126,1),1))/(INDEX('Step 4 Stage Discharge'!E$26:F$126,MATCH(C83,'Step 4 Stage Discharge'!E$26:E$126,1)+1,1)-INDEX('Step 4 Stage Discharge'!E$26:F$126,MATCH(C83,'Step 4 Stage Discharge'!E$26:E$126,1),1))</f>
        <v>0</v>
      </c>
      <c r="E83" s="219">
        <f>INDEX('Step 4 Stage Discharge'!E$26:M$126,MATCH(C83,'Step 4 Stage Discharge'!E$26:E$126,1),9)+(INDEX('Step 4 Stage Discharge'!E$26:M$126,MATCH('Step 6 Quality Check'!C83,'Step 4 Stage Discharge'!E$26:E$126,1)+1,9)-INDEX('Step 4 Stage Discharge'!E$26:M$126,MATCH('Step 6 Quality Check'!C83,'Step 4 Stage Discharge'!E$26:E$126,1),9))*('Step 6 Quality Check'!C83-INDEX('Step 4 Stage Discharge'!E$26:M$126,MATCH('Step 6 Quality Check'!C83,'Step 4 Stage Discharge'!E$26:E$126,1),1))/(INDEX('Step 4 Stage Discharge'!E$26:M$126,MATCH('Step 6 Quality Check'!C83,'Step 4 Stage Discharge'!E$26:E$126,1)+1,1)-INDEX('Step 4 Stage Discharge'!E$26:M$126,MATCH('Step 6 Quality Check'!C83,'Step 4 Stage Discharge'!E$26:E$126,1),1))</f>
        <v>4.3639431710317386E-3</v>
      </c>
      <c r="F83" s="218">
        <f t="shared" si="5"/>
        <v>0</v>
      </c>
      <c r="G83" s="218">
        <f t="shared" si="6"/>
        <v>0</v>
      </c>
    </row>
    <row r="84" spans="1:7">
      <c r="A84" s="217">
        <f t="shared" si="7"/>
        <v>340</v>
      </c>
      <c r="B84" s="216">
        <f t="shared" si="8"/>
        <v>99.1</v>
      </c>
      <c r="C84" s="218">
        <f t="shared" si="9"/>
        <v>0</v>
      </c>
      <c r="D84" s="219">
        <f>INDEX('Step 4 Stage Discharge'!E$26:F$126,MATCH(C84,'Step 4 Stage Discharge'!E$26:E$126,1),2)+(INDEX('Step 4 Stage Discharge'!E$26:F$126,MATCH(C84,'Step 4 Stage Discharge'!E$26:E$126,1)+1,2)-INDEX('Step 4 Stage Discharge'!E$26:F$126,MATCH(C84,'Step 4 Stage Discharge'!E$26:E$126,1),2))*(C84-INDEX('Step 4 Stage Discharge'!E$26:F$126,MATCH(C84,'Step 4 Stage Discharge'!E$26:E$126,1),1))/(INDEX('Step 4 Stage Discharge'!E$26:F$126,MATCH(C84,'Step 4 Stage Discharge'!E$26:E$126,1)+1,1)-INDEX('Step 4 Stage Discharge'!E$26:F$126,MATCH(C84,'Step 4 Stage Discharge'!E$26:E$126,1),1))</f>
        <v>0</v>
      </c>
      <c r="E84" s="219">
        <f>INDEX('Step 4 Stage Discharge'!E$26:M$126,MATCH(C84,'Step 4 Stage Discharge'!E$26:E$126,1),9)+(INDEX('Step 4 Stage Discharge'!E$26:M$126,MATCH('Step 6 Quality Check'!C84,'Step 4 Stage Discharge'!E$26:E$126,1)+1,9)-INDEX('Step 4 Stage Discharge'!E$26:M$126,MATCH('Step 6 Quality Check'!C84,'Step 4 Stage Discharge'!E$26:E$126,1),9))*('Step 6 Quality Check'!C84-INDEX('Step 4 Stage Discharge'!E$26:M$126,MATCH('Step 6 Quality Check'!C84,'Step 4 Stage Discharge'!E$26:E$126,1),1))/(INDEX('Step 4 Stage Discharge'!E$26:M$126,MATCH('Step 6 Quality Check'!C84,'Step 4 Stage Discharge'!E$26:E$126,1)+1,1)-INDEX('Step 4 Stage Discharge'!E$26:M$126,MATCH('Step 6 Quality Check'!C84,'Step 4 Stage Discharge'!E$26:E$126,1),1))</f>
        <v>4.3639431710317386E-3</v>
      </c>
      <c r="F84" s="218">
        <f t="shared" si="5"/>
        <v>0</v>
      </c>
      <c r="G84" s="218">
        <f t="shared" si="6"/>
        <v>0</v>
      </c>
    </row>
    <row r="85" spans="1:7">
      <c r="A85" s="217">
        <f t="shared" si="7"/>
        <v>345</v>
      </c>
      <c r="B85" s="216">
        <f t="shared" si="8"/>
        <v>99.1</v>
      </c>
      <c r="C85" s="218">
        <f t="shared" si="9"/>
        <v>0</v>
      </c>
      <c r="D85" s="219">
        <f>INDEX('Step 4 Stage Discharge'!E$26:F$126,MATCH(C85,'Step 4 Stage Discharge'!E$26:E$126,1),2)+(INDEX('Step 4 Stage Discharge'!E$26:F$126,MATCH(C85,'Step 4 Stage Discharge'!E$26:E$126,1)+1,2)-INDEX('Step 4 Stage Discharge'!E$26:F$126,MATCH(C85,'Step 4 Stage Discharge'!E$26:E$126,1),2))*(C85-INDEX('Step 4 Stage Discharge'!E$26:F$126,MATCH(C85,'Step 4 Stage Discharge'!E$26:E$126,1),1))/(INDEX('Step 4 Stage Discharge'!E$26:F$126,MATCH(C85,'Step 4 Stage Discharge'!E$26:E$126,1)+1,1)-INDEX('Step 4 Stage Discharge'!E$26:F$126,MATCH(C85,'Step 4 Stage Discharge'!E$26:E$126,1),1))</f>
        <v>0</v>
      </c>
      <c r="E85" s="219">
        <f>INDEX('Step 4 Stage Discharge'!E$26:M$126,MATCH(C85,'Step 4 Stage Discharge'!E$26:E$126,1),9)+(INDEX('Step 4 Stage Discharge'!E$26:M$126,MATCH('Step 6 Quality Check'!C85,'Step 4 Stage Discharge'!E$26:E$126,1)+1,9)-INDEX('Step 4 Stage Discharge'!E$26:M$126,MATCH('Step 6 Quality Check'!C85,'Step 4 Stage Discharge'!E$26:E$126,1),9))*('Step 6 Quality Check'!C85-INDEX('Step 4 Stage Discharge'!E$26:M$126,MATCH('Step 6 Quality Check'!C85,'Step 4 Stage Discharge'!E$26:E$126,1),1))/(INDEX('Step 4 Stage Discharge'!E$26:M$126,MATCH('Step 6 Quality Check'!C85,'Step 4 Stage Discharge'!E$26:E$126,1)+1,1)-INDEX('Step 4 Stage Discharge'!E$26:M$126,MATCH('Step 6 Quality Check'!C85,'Step 4 Stage Discharge'!E$26:E$126,1),1))</f>
        <v>4.3639431710317386E-3</v>
      </c>
      <c r="F85" s="218">
        <f t="shared" si="5"/>
        <v>0</v>
      </c>
      <c r="G85" s="218">
        <f t="shared" si="6"/>
        <v>0</v>
      </c>
    </row>
    <row r="86" spans="1:7">
      <c r="A86" s="217">
        <f t="shared" si="7"/>
        <v>350</v>
      </c>
      <c r="B86" s="216">
        <f t="shared" si="8"/>
        <v>99.1</v>
      </c>
      <c r="C86" s="218">
        <f t="shared" si="9"/>
        <v>0</v>
      </c>
      <c r="D86" s="219">
        <f>INDEX('Step 4 Stage Discharge'!E$26:F$126,MATCH(C86,'Step 4 Stage Discharge'!E$26:E$126,1),2)+(INDEX('Step 4 Stage Discharge'!E$26:F$126,MATCH(C86,'Step 4 Stage Discharge'!E$26:E$126,1)+1,2)-INDEX('Step 4 Stage Discharge'!E$26:F$126,MATCH(C86,'Step 4 Stage Discharge'!E$26:E$126,1),2))*(C86-INDEX('Step 4 Stage Discharge'!E$26:F$126,MATCH(C86,'Step 4 Stage Discharge'!E$26:E$126,1),1))/(INDEX('Step 4 Stage Discharge'!E$26:F$126,MATCH(C86,'Step 4 Stage Discharge'!E$26:E$126,1)+1,1)-INDEX('Step 4 Stage Discharge'!E$26:F$126,MATCH(C86,'Step 4 Stage Discharge'!E$26:E$126,1),1))</f>
        <v>0</v>
      </c>
      <c r="E86" s="219">
        <f>INDEX('Step 4 Stage Discharge'!E$26:M$126,MATCH(C86,'Step 4 Stage Discharge'!E$26:E$126,1),9)+(INDEX('Step 4 Stage Discharge'!E$26:M$126,MATCH('Step 6 Quality Check'!C86,'Step 4 Stage Discharge'!E$26:E$126,1)+1,9)-INDEX('Step 4 Stage Discharge'!E$26:M$126,MATCH('Step 6 Quality Check'!C86,'Step 4 Stage Discharge'!E$26:E$126,1),9))*('Step 6 Quality Check'!C86-INDEX('Step 4 Stage Discharge'!E$26:M$126,MATCH('Step 6 Quality Check'!C86,'Step 4 Stage Discharge'!E$26:E$126,1),1))/(INDEX('Step 4 Stage Discharge'!E$26:M$126,MATCH('Step 6 Quality Check'!C86,'Step 4 Stage Discharge'!E$26:E$126,1)+1,1)-INDEX('Step 4 Stage Discharge'!E$26:M$126,MATCH('Step 6 Quality Check'!C86,'Step 4 Stage Discharge'!E$26:E$126,1),1))</f>
        <v>4.3639431710317386E-3</v>
      </c>
      <c r="F86" s="218">
        <f t="shared" si="5"/>
        <v>0</v>
      </c>
      <c r="G86" s="218">
        <f t="shared" si="6"/>
        <v>0</v>
      </c>
    </row>
    <row r="87" spans="1:7">
      <c r="A87" s="217">
        <f t="shared" si="7"/>
        <v>355</v>
      </c>
      <c r="B87" s="216">
        <f t="shared" si="8"/>
        <v>99.1</v>
      </c>
      <c r="C87" s="218">
        <f t="shared" si="9"/>
        <v>0</v>
      </c>
      <c r="D87" s="219">
        <f>INDEX('Step 4 Stage Discharge'!E$26:F$126,MATCH(C87,'Step 4 Stage Discharge'!E$26:E$126,1),2)+(INDEX('Step 4 Stage Discharge'!E$26:F$126,MATCH(C87,'Step 4 Stage Discharge'!E$26:E$126,1)+1,2)-INDEX('Step 4 Stage Discharge'!E$26:F$126,MATCH(C87,'Step 4 Stage Discharge'!E$26:E$126,1),2))*(C87-INDEX('Step 4 Stage Discharge'!E$26:F$126,MATCH(C87,'Step 4 Stage Discharge'!E$26:E$126,1),1))/(INDEX('Step 4 Stage Discharge'!E$26:F$126,MATCH(C87,'Step 4 Stage Discharge'!E$26:E$126,1)+1,1)-INDEX('Step 4 Stage Discharge'!E$26:F$126,MATCH(C87,'Step 4 Stage Discharge'!E$26:E$126,1),1))</f>
        <v>0</v>
      </c>
      <c r="E87" s="219">
        <f>INDEX('Step 4 Stage Discharge'!E$26:M$126,MATCH(C87,'Step 4 Stage Discharge'!E$26:E$126,1),9)+(INDEX('Step 4 Stage Discharge'!E$26:M$126,MATCH('Step 6 Quality Check'!C87,'Step 4 Stage Discharge'!E$26:E$126,1)+1,9)-INDEX('Step 4 Stage Discharge'!E$26:M$126,MATCH('Step 6 Quality Check'!C87,'Step 4 Stage Discharge'!E$26:E$126,1),9))*('Step 6 Quality Check'!C87-INDEX('Step 4 Stage Discharge'!E$26:M$126,MATCH('Step 6 Quality Check'!C87,'Step 4 Stage Discharge'!E$26:E$126,1),1))/(INDEX('Step 4 Stage Discharge'!E$26:M$126,MATCH('Step 6 Quality Check'!C87,'Step 4 Stage Discharge'!E$26:E$126,1)+1,1)-INDEX('Step 4 Stage Discharge'!E$26:M$126,MATCH('Step 6 Quality Check'!C87,'Step 4 Stage Discharge'!E$26:E$126,1),1))</f>
        <v>4.3639431710317386E-3</v>
      </c>
      <c r="F87" s="218">
        <f t="shared" si="5"/>
        <v>0</v>
      </c>
      <c r="G87" s="218">
        <f t="shared" si="6"/>
        <v>0</v>
      </c>
    </row>
    <row r="88" spans="1:7">
      <c r="A88" s="217">
        <f t="shared" si="7"/>
        <v>360</v>
      </c>
      <c r="B88" s="216">
        <f t="shared" si="8"/>
        <v>99.1</v>
      </c>
      <c r="C88" s="218">
        <f t="shared" si="9"/>
        <v>0</v>
      </c>
      <c r="D88" s="219">
        <f>INDEX('Step 4 Stage Discharge'!E$26:F$126,MATCH(C88,'Step 4 Stage Discharge'!E$26:E$126,1),2)+(INDEX('Step 4 Stage Discharge'!E$26:F$126,MATCH(C88,'Step 4 Stage Discharge'!E$26:E$126,1)+1,2)-INDEX('Step 4 Stage Discharge'!E$26:F$126,MATCH(C88,'Step 4 Stage Discharge'!E$26:E$126,1),2))*(C88-INDEX('Step 4 Stage Discharge'!E$26:F$126,MATCH(C88,'Step 4 Stage Discharge'!E$26:E$126,1),1))/(INDEX('Step 4 Stage Discharge'!E$26:F$126,MATCH(C88,'Step 4 Stage Discharge'!E$26:E$126,1)+1,1)-INDEX('Step 4 Stage Discharge'!E$26:F$126,MATCH(C88,'Step 4 Stage Discharge'!E$26:E$126,1),1))</f>
        <v>0</v>
      </c>
      <c r="E88" s="219">
        <f>INDEX('Step 4 Stage Discharge'!E$26:M$126,MATCH(C88,'Step 4 Stage Discharge'!E$26:E$126,1),9)+(INDEX('Step 4 Stage Discharge'!E$26:M$126,MATCH('Step 6 Quality Check'!C88,'Step 4 Stage Discharge'!E$26:E$126,1)+1,9)-INDEX('Step 4 Stage Discharge'!E$26:M$126,MATCH('Step 6 Quality Check'!C88,'Step 4 Stage Discharge'!E$26:E$126,1),9))*('Step 6 Quality Check'!C88-INDEX('Step 4 Stage Discharge'!E$26:M$126,MATCH('Step 6 Quality Check'!C88,'Step 4 Stage Discharge'!E$26:E$126,1),1))/(INDEX('Step 4 Stage Discharge'!E$26:M$126,MATCH('Step 6 Quality Check'!C88,'Step 4 Stage Discharge'!E$26:E$126,1)+1,1)-INDEX('Step 4 Stage Discharge'!E$26:M$126,MATCH('Step 6 Quality Check'!C88,'Step 4 Stage Discharge'!E$26:E$126,1),1))</f>
        <v>4.3639431710317386E-3</v>
      </c>
      <c r="F88" s="218">
        <f t="shared" si="5"/>
        <v>0</v>
      </c>
      <c r="G88" s="218">
        <f t="shared" si="6"/>
        <v>0</v>
      </c>
    </row>
    <row r="89" spans="1:7">
      <c r="A89" s="217">
        <f t="shared" si="7"/>
        <v>365</v>
      </c>
      <c r="B89" s="216">
        <f t="shared" si="8"/>
        <v>99.1</v>
      </c>
      <c r="C89" s="218">
        <f t="shared" si="9"/>
        <v>0</v>
      </c>
      <c r="D89" s="219">
        <f>INDEX('Step 4 Stage Discharge'!E$26:F$126,MATCH(C89,'Step 4 Stage Discharge'!E$26:E$126,1),2)+(INDEX('Step 4 Stage Discharge'!E$26:F$126,MATCH(C89,'Step 4 Stage Discharge'!E$26:E$126,1)+1,2)-INDEX('Step 4 Stage Discharge'!E$26:F$126,MATCH(C89,'Step 4 Stage Discharge'!E$26:E$126,1),2))*(C89-INDEX('Step 4 Stage Discharge'!E$26:F$126,MATCH(C89,'Step 4 Stage Discharge'!E$26:E$126,1),1))/(INDEX('Step 4 Stage Discharge'!E$26:F$126,MATCH(C89,'Step 4 Stage Discharge'!E$26:E$126,1)+1,1)-INDEX('Step 4 Stage Discharge'!E$26:F$126,MATCH(C89,'Step 4 Stage Discharge'!E$26:E$126,1),1))</f>
        <v>0</v>
      </c>
      <c r="E89" s="219">
        <f>INDEX('Step 4 Stage Discharge'!E$26:M$126,MATCH(C89,'Step 4 Stage Discharge'!E$26:E$126,1),9)+(INDEX('Step 4 Stage Discharge'!E$26:M$126,MATCH('Step 6 Quality Check'!C89,'Step 4 Stage Discharge'!E$26:E$126,1)+1,9)-INDEX('Step 4 Stage Discharge'!E$26:M$126,MATCH('Step 6 Quality Check'!C89,'Step 4 Stage Discharge'!E$26:E$126,1),9))*('Step 6 Quality Check'!C89-INDEX('Step 4 Stage Discharge'!E$26:M$126,MATCH('Step 6 Quality Check'!C89,'Step 4 Stage Discharge'!E$26:E$126,1),1))/(INDEX('Step 4 Stage Discharge'!E$26:M$126,MATCH('Step 6 Quality Check'!C89,'Step 4 Stage Discharge'!E$26:E$126,1)+1,1)-INDEX('Step 4 Stage Discharge'!E$26:M$126,MATCH('Step 6 Quality Check'!C89,'Step 4 Stage Discharge'!E$26:E$126,1),1))</f>
        <v>4.3639431710317386E-3</v>
      </c>
      <c r="F89" s="218">
        <f t="shared" si="5"/>
        <v>0</v>
      </c>
      <c r="G89" s="218">
        <f t="shared" si="6"/>
        <v>0</v>
      </c>
    </row>
    <row r="90" spans="1:7">
      <c r="A90" s="217">
        <f t="shared" si="7"/>
        <v>370</v>
      </c>
      <c r="B90" s="216">
        <f t="shared" si="8"/>
        <v>99.1</v>
      </c>
      <c r="C90" s="218">
        <f t="shared" si="9"/>
        <v>0</v>
      </c>
      <c r="D90" s="219">
        <f>INDEX('Step 4 Stage Discharge'!E$26:F$126,MATCH(C90,'Step 4 Stage Discharge'!E$26:E$126,1),2)+(INDEX('Step 4 Stage Discharge'!E$26:F$126,MATCH(C90,'Step 4 Stage Discharge'!E$26:E$126,1)+1,2)-INDEX('Step 4 Stage Discharge'!E$26:F$126,MATCH(C90,'Step 4 Stage Discharge'!E$26:E$126,1),2))*(C90-INDEX('Step 4 Stage Discharge'!E$26:F$126,MATCH(C90,'Step 4 Stage Discharge'!E$26:E$126,1),1))/(INDEX('Step 4 Stage Discharge'!E$26:F$126,MATCH(C90,'Step 4 Stage Discharge'!E$26:E$126,1)+1,1)-INDEX('Step 4 Stage Discharge'!E$26:F$126,MATCH(C90,'Step 4 Stage Discharge'!E$26:E$126,1),1))</f>
        <v>0</v>
      </c>
      <c r="E90" s="219">
        <f>INDEX('Step 4 Stage Discharge'!E$26:M$126,MATCH(C90,'Step 4 Stage Discharge'!E$26:E$126,1),9)+(INDEX('Step 4 Stage Discharge'!E$26:M$126,MATCH('Step 6 Quality Check'!C90,'Step 4 Stage Discharge'!E$26:E$126,1)+1,9)-INDEX('Step 4 Stage Discharge'!E$26:M$126,MATCH('Step 6 Quality Check'!C90,'Step 4 Stage Discharge'!E$26:E$126,1),9))*('Step 6 Quality Check'!C90-INDEX('Step 4 Stage Discharge'!E$26:M$126,MATCH('Step 6 Quality Check'!C90,'Step 4 Stage Discharge'!E$26:E$126,1),1))/(INDEX('Step 4 Stage Discharge'!E$26:M$126,MATCH('Step 6 Quality Check'!C90,'Step 4 Stage Discharge'!E$26:E$126,1)+1,1)-INDEX('Step 4 Stage Discharge'!E$26:M$126,MATCH('Step 6 Quality Check'!C90,'Step 4 Stage Discharge'!E$26:E$126,1),1))</f>
        <v>4.3639431710317386E-3</v>
      </c>
      <c r="F90" s="218">
        <f t="shared" si="5"/>
        <v>0</v>
      </c>
      <c r="G90" s="218">
        <f t="shared" si="6"/>
        <v>0</v>
      </c>
    </row>
    <row r="91" spans="1:7">
      <c r="A91" s="217">
        <f t="shared" si="7"/>
        <v>375</v>
      </c>
      <c r="B91" s="216">
        <f t="shared" si="8"/>
        <v>99.1</v>
      </c>
      <c r="C91" s="218">
        <f t="shared" si="9"/>
        <v>0</v>
      </c>
      <c r="D91" s="219">
        <f>INDEX('Step 4 Stage Discharge'!E$26:F$126,MATCH(C91,'Step 4 Stage Discharge'!E$26:E$126,1),2)+(INDEX('Step 4 Stage Discharge'!E$26:F$126,MATCH(C91,'Step 4 Stage Discharge'!E$26:E$126,1)+1,2)-INDEX('Step 4 Stage Discharge'!E$26:F$126,MATCH(C91,'Step 4 Stage Discharge'!E$26:E$126,1),2))*(C91-INDEX('Step 4 Stage Discharge'!E$26:F$126,MATCH(C91,'Step 4 Stage Discharge'!E$26:E$126,1),1))/(INDEX('Step 4 Stage Discharge'!E$26:F$126,MATCH(C91,'Step 4 Stage Discharge'!E$26:E$126,1)+1,1)-INDEX('Step 4 Stage Discharge'!E$26:F$126,MATCH(C91,'Step 4 Stage Discharge'!E$26:E$126,1),1))</f>
        <v>0</v>
      </c>
      <c r="E91" s="219">
        <f>INDEX('Step 4 Stage Discharge'!E$26:M$126,MATCH(C91,'Step 4 Stage Discharge'!E$26:E$126,1),9)+(INDEX('Step 4 Stage Discharge'!E$26:M$126,MATCH('Step 6 Quality Check'!C91,'Step 4 Stage Discharge'!E$26:E$126,1)+1,9)-INDEX('Step 4 Stage Discharge'!E$26:M$126,MATCH('Step 6 Quality Check'!C91,'Step 4 Stage Discharge'!E$26:E$126,1),9))*('Step 6 Quality Check'!C91-INDEX('Step 4 Stage Discharge'!E$26:M$126,MATCH('Step 6 Quality Check'!C91,'Step 4 Stage Discharge'!E$26:E$126,1),1))/(INDEX('Step 4 Stage Discharge'!E$26:M$126,MATCH('Step 6 Quality Check'!C91,'Step 4 Stage Discharge'!E$26:E$126,1)+1,1)-INDEX('Step 4 Stage Discharge'!E$26:M$126,MATCH('Step 6 Quality Check'!C91,'Step 4 Stage Discharge'!E$26:E$126,1),1))</f>
        <v>4.3639431710317386E-3</v>
      </c>
      <c r="F91" s="218">
        <f t="shared" si="5"/>
        <v>0</v>
      </c>
      <c r="G91" s="218">
        <f t="shared" si="6"/>
        <v>0</v>
      </c>
    </row>
    <row r="92" spans="1:7">
      <c r="A92" s="217">
        <f t="shared" si="7"/>
        <v>380</v>
      </c>
      <c r="B92" s="216">
        <f t="shared" si="8"/>
        <v>99.1</v>
      </c>
      <c r="C92" s="218">
        <f t="shared" si="9"/>
        <v>0</v>
      </c>
      <c r="D92" s="219">
        <f>INDEX('Step 4 Stage Discharge'!E$26:F$126,MATCH(C92,'Step 4 Stage Discharge'!E$26:E$126,1),2)+(INDEX('Step 4 Stage Discharge'!E$26:F$126,MATCH(C92,'Step 4 Stage Discharge'!E$26:E$126,1)+1,2)-INDEX('Step 4 Stage Discharge'!E$26:F$126,MATCH(C92,'Step 4 Stage Discharge'!E$26:E$126,1),2))*(C92-INDEX('Step 4 Stage Discharge'!E$26:F$126,MATCH(C92,'Step 4 Stage Discharge'!E$26:E$126,1),1))/(INDEX('Step 4 Stage Discharge'!E$26:F$126,MATCH(C92,'Step 4 Stage Discharge'!E$26:E$126,1)+1,1)-INDEX('Step 4 Stage Discharge'!E$26:F$126,MATCH(C92,'Step 4 Stage Discharge'!E$26:E$126,1),1))</f>
        <v>0</v>
      </c>
      <c r="E92" s="219">
        <f>INDEX('Step 4 Stage Discharge'!E$26:M$126,MATCH(C92,'Step 4 Stage Discharge'!E$26:E$126,1),9)+(INDEX('Step 4 Stage Discharge'!E$26:M$126,MATCH('Step 6 Quality Check'!C92,'Step 4 Stage Discharge'!E$26:E$126,1)+1,9)-INDEX('Step 4 Stage Discharge'!E$26:M$126,MATCH('Step 6 Quality Check'!C92,'Step 4 Stage Discharge'!E$26:E$126,1),9))*('Step 6 Quality Check'!C92-INDEX('Step 4 Stage Discharge'!E$26:M$126,MATCH('Step 6 Quality Check'!C92,'Step 4 Stage Discharge'!E$26:E$126,1),1))/(INDEX('Step 4 Stage Discharge'!E$26:M$126,MATCH('Step 6 Quality Check'!C92,'Step 4 Stage Discharge'!E$26:E$126,1)+1,1)-INDEX('Step 4 Stage Discharge'!E$26:M$126,MATCH('Step 6 Quality Check'!C92,'Step 4 Stage Discharge'!E$26:E$126,1),1))</f>
        <v>4.3639431710317386E-3</v>
      </c>
      <c r="F92" s="218">
        <f t="shared" si="5"/>
        <v>0</v>
      </c>
      <c r="G92" s="218">
        <f t="shared" si="6"/>
        <v>0</v>
      </c>
    </row>
    <row r="93" spans="1:7">
      <c r="A93" s="217">
        <f t="shared" si="7"/>
        <v>385</v>
      </c>
      <c r="B93" s="216">
        <f t="shared" si="8"/>
        <v>99.1</v>
      </c>
      <c r="C93" s="218">
        <f t="shared" si="9"/>
        <v>0</v>
      </c>
      <c r="D93" s="219">
        <f>INDEX('Step 4 Stage Discharge'!E$26:F$126,MATCH(C93,'Step 4 Stage Discharge'!E$26:E$126,1),2)+(INDEX('Step 4 Stage Discharge'!E$26:F$126,MATCH(C93,'Step 4 Stage Discharge'!E$26:E$126,1)+1,2)-INDEX('Step 4 Stage Discharge'!E$26:F$126,MATCH(C93,'Step 4 Stage Discharge'!E$26:E$126,1),2))*(C93-INDEX('Step 4 Stage Discharge'!E$26:F$126,MATCH(C93,'Step 4 Stage Discharge'!E$26:E$126,1),1))/(INDEX('Step 4 Stage Discharge'!E$26:F$126,MATCH(C93,'Step 4 Stage Discharge'!E$26:E$126,1)+1,1)-INDEX('Step 4 Stage Discharge'!E$26:F$126,MATCH(C93,'Step 4 Stage Discharge'!E$26:E$126,1),1))</f>
        <v>0</v>
      </c>
      <c r="E93" s="219">
        <f>INDEX('Step 4 Stage Discharge'!E$26:M$126,MATCH(C93,'Step 4 Stage Discharge'!E$26:E$126,1),9)+(INDEX('Step 4 Stage Discharge'!E$26:M$126,MATCH('Step 6 Quality Check'!C93,'Step 4 Stage Discharge'!E$26:E$126,1)+1,9)-INDEX('Step 4 Stage Discharge'!E$26:M$126,MATCH('Step 6 Quality Check'!C93,'Step 4 Stage Discharge'!E$26:E$126,1),9))*('Step 6 Quality Check'!C93-INDEX('Step 4 Stage Discharge'!E$26:M$126,MATCH('Step 6 Quality Check'!C93,'Step 4 Stage Discharge'!E$26:E$126,1),1))/(INDEX('Step 4 Stage Discharge'!E$26:M$126,MATCH('Step 6 Quality Check'!C93,'Step 4 Stage Discharge'!E$26:E$126,1)+1,1)-INDEX('Step 4 Stage Discharge'!E$26:M$126,MATCH('Step 6 Quality Check'!C93,'Step 4 Stage Discharge'!E$26:E$126,1),1))</f>
        <v>4.3639431710317386E-3</v>
      </c>
      <c r="F93" s="218">
        <f t="shared" si="5"/>
        <v>0</v>
      </c>
      <c r="G93" s="218">
        <f t="shared" si="6"/>
        <v>0</v>
      </c>
    </row>
    <row r="94" spans="1:7">
      <c r="A94" s="217">
        <f t="shared" si="7"/>
        <v>390</v>
      </c>
      <c r="B94" s="216">
        <f t="shared" si="8"/>
        <v>99.1</v>
      </c>
      <c r="C94" s="218">
        <f t="shared" si="9"/>
        <v>0</v>
      </c>
      <c r="D94" s="219">
        <f>INDEX('Step 4 Stage Discharge'!E$26:F$126,MATCH(C94,'Step 4 Stage Discharge'!E$26:E$126,1),2)+(INDEX('Step 4 Stage Discharge'!E$26:F$126,MATCH(C94,'Step 4 Stage Discharge'!E$26:E$126,1)+1,2)-INDEX('Step 4 Stage Discharge'!E$26:F$126,MATCH(C94,'Step 4 Stage Discharge'!E$26:E$126,1),2))*(C94-INDEX('Step 4 Stage Discharge'!E$26:F$126,MATCH(C94,'Step 4 Stage Discharge'!E$26:E$126,1),1))/(INDEX('Step 4 Stage Discharge'!E$26:F$126,MATCH(C94,'Step 4 Stage Discharge'!E$26:E$126,1)+1,1)-INDEX('Step 4 Stage Discharge'!E$26:F$126,MATCH(C94,'Step 4 Stage Discharge'!E$26:E$126,1),1))</f>
        <v>0</v>
      </c>
      <c r="E94" s="219">
        <f>INDEX('Step 4 Stage Discharge'!E$26:M$126,MATCH(C94,'Step 4 Stage Discharge'!E$26:E$126,1),9)+(INDEX('Step 4 Stage Discharge'!E$26:M$126,MATCH('Step 6 Quality Check'!C94,'Step 4 Stage Discharge'!E$26:E$126,1)+1,9)-INDEX('Step 4 Stage Discharge'!E$26:M$126,MATCH('Step 6 Quality Check'!C94,'Step 4 Stage Discharge'!E$26:E$126,1),9))*('Step 6 Quality Check'!C94-INDEX('Step 4 Stage Discharge'!E$26:M$126,MATCH('Step 6 Quality Check'!C94,'Step 4 Stage Discharge'!E$26:E$126,1),1))/(INDEX('Step 4 Stage Discharge'!E$26:M$126,MATCH('Step 6 Quality Check'!C94,'Step 4 Stage Discharge'!E$26:E$126,1)+1,1)-INDEX('Step 4 Stage Discharge'!E$26:M$126,MATCH('Step 6 Quality Check'!C94,'Step 4 Stage Discharge'!E$26:E$126,1),1))</f>
        <v>4.3639431710317386E-3</v>
      </c>
      <c r="F94" s="218">
        <f t="shared" si="5"/>
        <v>0</v>
      </c>
      <c r="G94" s="218">
        <f t="shared" si="6"/>
        <v>0</v>
      </c>
    </row>
    <row r="95" spans="1:7">
      <c r="A95" s="217">
        <f t="shared" si="7"/>
        <v>395</v>
      </c>
      <c r="B95" s="216">
        <f t="shared" si="8"/>
        <v>99.1</v>
      </c>
      <c r="C95" s="218">
        <f t="shared" si="9"/>
        <v>0</v>
      </c>
      <c r="D95" s="219">
        <f>INDEX('Step 4 Stage Discharge'!E$26:F$126,MATCH(C95,'Step 4 Stage Discharge'!E$26:E$126,1),2)+(INDEX('Step 4 Stage Discharge'!E$26:F$126,MATCH(C95,'Step 4 Stage Discharge'!E$26:E$126,1)+1,2)-INDEX('Step 4 Stage Discharge'!E$26:F$126,MATCH(C95,'Step 4 Stage Discharge'!E$26:E$126,1),2))*(C95-INDEX('Step 4 Stage Discharge'!E$26:F$126,MATCH(C95,'Step 4 Stage Discharge'!E$26:E$126,1),1))/(INDEX('Step 4 Stage Discharge'!E$26:F$126,MATCH(C95,'Step 4 Stage Discharge'!E$26:E$126,1)+1,1)-INDEX('Step 4 Stage Discharge'!E$26:F$126,MATCH(C95,'Step 4 Stage Discharge'!E$26:E$126,1),1))</f>
        <v>0</v>
      </c>
      <c r="E95" s="219">
        <f>INDEX('Step 4 Stage Discharge'!E$26:M$126,MATCH(C95,'Step 4 Stage Discharge'!E$26:E$126,1),9)+(INDEX('Step 4 Stage Discharge'!E$26:M$126,MATCH('Step 6 Quality Check'!C95,'Step 4 Stage Discharge'!E$26:E$126,1)+1,9)-INDEX('Step 4 Stage Discharge'!E$26:M$126,MATCH('Step 6 Quality Check'!C95,'Step 4 Stage Discharge'!E$26:E$126,1),9))*('Step 6 Quality Check'!C95-INDEX('Step 4 Stage Discharge'!E$26:M$126,MATCH('Step 6 Quality Check'!C95,'Step 4 Stage Discharge'!E$26:E$126,1),1))/(INDEX('Step 4 Stage Discharge'!E$26:M$126,MATCH('Step 6 Quality Check'!C95,'Step 4 Stage Discharge'!E$26:E$126,1)+1,1)-INDEX('Step 4 Stage Discharge'!E$26:M$126,MATCH('Step 6 Quality Check'!C95,'Step 4 Stage Discharge'!E$26:E$126,1),1))</f>
        <v>4.3639431710317386E-3</v>
      </c>
      <c r="F95" s="218">
        <f t="shared" si="5"/>
        <v>0</v>
      </c>
      <c r="G95" s="218">
        <f t="shared" si="6"/>
        <v>0</v>
      </c>
    </row>
    <row r="96" spans="1:7">
      <c r="A96" s="217">
        <f t="shared" si="7"/>
        <v>400</v>
      </c>
      <c r="B96" s="216">
        <f t="shared" si="8"/>
        <v>99.1</v>
      </c>
      <c r="C96" s="218">
        <f t="shared" si="9"/>
        <v>0</v>
      </c>
      <c r="D96" s="219">
        <f>INDEX('Step 4 Stage Discharge'!E$26:F$126,MATCH(C96,'Step 4 Stage Discharge'!E$26:E$126,1),2)+(INDEX('Step 4 Stage Discharge'!E$26:F$126,MATCH(C96,'Step 4 Stage Discharge'!E$26:E$126,1)+1,2)-INDEX('Step 4 Stage Discharge'!E$26:F$126,MATCH(C96,'Step 4 Stage Discharge'!E$26:E$126,1),2))*(C96-INDEX('Step 4 Stage Discharge'!E$26:F$126,MATCH(C96,'Step 4 Stage Discharge'!E$26:E$126,1),1))/(INDEX('Step 4 Stage Discharge'!E$26:F$126,MATCH(C96,'Step 4 Stage Discharge'!E$26:E$126,1)+1,1)-INDEX('Step 4 Stage Discharge'!E$26:F$126,MATCH(C96,'Step 4 Stage Discharge'!E$26:E$126,1),1))</f>
        <v>0</v>
      </c>
      <c r="E96" s="219">
        <f>INDEX('Step 4 Stage Discharge'!E$26:M$126,MATCH(C96,'Step 4 Stage Discharge'!E$26:E$126,1),9)+(INDEX('Step 4 Stage Discharge'!E$26:M$126,MATCH('Step 6 Quality Check'!C96,'Step 4 Stage Discharge'!E$26:E$126,1)+1,9)-INDEX('Step 4 Stage Discharge'!E$26:M$126,MATCH('Step 6 Quality Check'!C96,'Step 4 Stage Discharge'!E$26:E$126,1),9))*('Step 6 Quality Check'!C96-INDEX('Step 4 Stage Discharge'!E$26:M$126,MATCH('Step 6 Quality Check'!C96,'Step 4 Stage Discharge'!E$26:E$126,1),1))/(INDEX('Step 4 Stage Discharge'!E$26:M$126,MATCH('Step 6 Quality Check'!C96,'Step 4 Stage Discharge'!E$26:E$126,1)+1,1)-INDEX('Step 4 Stage Discharge'!E$26:M$126,MATCH('Step 6 Quality Check'!C96,'Step 4 Stage Discharge'!E$26:E$126,1),1))</f>
        <v>4.3639431710317386E-3</v>
      </c>
      <c r="F96" s="218">
        <f t="shared" si="5"/>
        <v>0</v>
      </c>
      <c r="G96" s="218">
        <f t="shared" si="6"/>
        <v>0</v>
      </c>
    </row>
    <row r="97" spans="1:7">
      <c r="A97" s="217">
        <f t="shared" si="7"/>
        <v>405</v>
      </c>
      <c r="B97" s="216">
        <f t="shared" si="8"/>
        <v>99.1</v>
      </c>
      <c r="C97" s="218">
        <f t="shared" si="9"/>
        <v>0</v>
      </c>
      <c r="D97" s="219">
        <f>INDEX('Step 4 Stage Discharge'!E$26:F$126,MATCH(C97,'Step 4 Stage Discharge'!E$26:E$126,1),2)+(INDEX('Step 4 Stage Discharge'!E$26:F$126,MATCH(C97,'Step 4 Stage Discharge'!E$26:E$126,1)+1,2)-INDEX('Step 4 Stage Discharge'!E$26:F$126,MATCH(C97,'Step 4 Stage Discharge'!E$26:E$126,1),2))*(C97-INDEX('Step 4 Stage Discharge'!E$26:F$126,MATCH(C97,'Step 4 Stage Discharge'!E$26:E$126,1),1))/(INDEX('Step 4 Stage Discharge'!E$26:F$126,MATCH(C97,'Step 4 Stage Discharge'!E$26:E$126,1)+1,1)-INDEX('Step 4 Stage Discharge'!E$26:F$126,MATCH(C97,'Step 4 Stage Discharge'!E$26:E$126,1),1))</f>
        <v>0</v>
      </c>
      <c r="E97" s="219">
        <f>INDEX('Step 4 Stage Discharge'!E$26:M$126,MATCH(C97,'Step 4 Stage Discharge'!E$26:E$126,1),9)+(INDEX('Step 4 Stage Discharge'!E$26:M$126,MATCH('Step 6 Quality Check'!C97,'Step 4 Stage Discharge'!E$26:E$126,1)+1,9)-INDEX('Step 4 Stage Discharge'!E$26:M$126,MATCH('Step 6 Quality Check'!C97,'Step 4 Stage Discharge'!E$26:E$126,1),9))*('Step 6 Quality Check'!C97-INDEX('Step 4 Stage Discharge'!E$26:M$126,MATCH('Step 6 Quality Check'!C97,'Step 4 Stage Discharge'!E$26:E$126,1),1))/(INDEX('Step 4 Stage Discharge'!E$26:M$126,MATCH('Step 6 Quality Check'!C97,'Step 4 Stage Discharge'!E$26:E$126,1)+1,1)-INDEX('Step 4 Stage Discharge'!E$26:M$126,MATCH('Step 6 Quality Check'!C97,'Step 4 Stage Discharge'!E$26:E$126,1),1))</f>
        <v>4.3639431710317386E-3</v>
      </c>
      <c r="F97" s="218">
        <f t="shared" si="5"/>
        <v>0</v>
      </c>
      <c r="G97" s="218">
        <f t="shared" si="6"/>
        <v>0</v>
      </c>
    </row>
    <row r="98" spans="1:7">
      <c r="A98" s="217">
        <f t="shared" si="7"/>
        <v>410</v>
      </c>
      <c r="B98" s="216">
        <f t="shared" si="8"/>
        <v>99.1</v>
      </c>
      <c r="C98" s="218">
        <f t="shared" si="9"/>
        <v>0</v>
      </c>
      <c r="D98" s="219">
        <f>INDEX('Step 4 Stage Discharge'!E$26:F$126,MATCH(C98,'Step 4 Stage Discharge'!E$26:E$126,1),2)+(INDEX('Step 4 Stage Discharge'!E$26:F$126,MATCH(C98,'Step 4 Stage Discharge'!E$26:E$126,1)+1,2)-INDEX('Step 4 Stage Discharge'!E$26:F$126,MATCH(C98,'Step 4 Stage Discharge'!E$26:E$126,1),2))*(C98-INDEX('Step 4 Stage Discharge'!E$26:F$126,MATCH(C98,'Step 4 Stage Discharge'!E$26:E$126,1),1))/(INDEX('Step 4 Stage Discharge'!E$26:F$126,MATCH(C98,'Step 4 Stage Discharge'!E$26:E$126,1)+1,1)-INDEX('Step 4 Stage Discharge'!E$26:F$126,MATCH(C98,'Step 4 Stage Discharge'!E$26:E$126,1),1))</f>
        <v>0</v>
      </c>
      <c r="E98" s="219">
        <f>INDEX('Step 4 Stage Discharge'!E$26:M$126,MATCH(C98,'Step 4 Stage Discharge'!E$26:E$126,1),9)+(INDEX('Step 4 Stage Discharge'!E$26:M$126,MATCH('Step 6 Quality Check'!C98,'Step 4 Stage Discharge'!E$26:E$126,1)+1,9)-INDEX('Step 4 Stage Discharge'!E$26:M$126,MATCH('Step 6 Quality Check'!C98,'Step 4 Stage Discharge'!E$26:E$126,1),9))*('Step 6 Quality Check'!C98-INDEX('Step 4 Stage Discharge'!E$26:M$126,MATCH('Step 6 Quality Check'!C98,'Step 4 Stage Discharge'!E$26:E$126,1),1))/(INDEX('Step 4 Stage Discharge'!E$26:M$126,MATCH('Step 6 Quality Check'!C98,'Step 4 Stage Discharge'!E$26:E$126,1)+1,1)-INDEX('Step 4 Stage Discharge'!E$26:M$126,MATCH('Step 6 Quality Check'!C98,'Step 4 Stage Discharge'!E$26:E$126,1),1))</f>
        <v>4.3639431710317386E-3</v>
      </c>
      <c r="F98" s="218">
        <f t="shared" si="5"/>
        <v>0</v>
      </c>
      <c r="G98" s="218">
        <f t="shared" si="6"/>
        <v>0</v>
      </c>
    </row>
    <row r="99" spans="1:7">
      <c r="A99" s="217">
        <f t="shared" si="7"/>
        <v>415</v>
      </c>
      <c r="B99" s="216">
        <f t="shared" si="8"/>
        <v>99.1</v>
      </c>
      <c r="C99" s="218">
        <f t="shared" si="9"/>
        <v>0</v>
      </c>
      <c r="D99" s="219">
        <f>INDEX('Step 4 Stage Discharge'!E$26:F$126,MATCH(C99,'Step 4 Stage Discharge'!E$26:E$126,1),2)+(INDEX('Step 4 Stage Discharge'!E$26:F$126,MATCH(C99,'Step 4 Stage Discharge'!E$26:E$126,1)+1,2)-INDEX('Step 4 Stage Discharge'!E$26:F$126,MATCH(C99,'Step 4 Stage Discharge'!E$26:E$126,1),2))*(C99-INDEX('Step 4 Stage Discharge'!E$26:F$126,MATCH(C99,'Step 4 Stage Discharge'!E$26:E$126,1),1))/(INDEX('Step 4 Stage Discharge'!E$26:F$126,MATCH(C99,'Step 4 Stage Discharge'!E$26:E$126,1)+1,1)-INDEX('Step 4 Stage Discharge'!E$26:F$126,MATCH(C99,'Step 4 Stage Discharge'!E$26:E$126,1),1))</f>
        <v>0</v>
      </c>
      <c r="E99" s="219">
        <f>INDEX('Step 4 Stage Discharge'!E$26:M$126,MATCH(C99,'Step 4 Stage Discharge'!E$26:E$126,1),9)+(INDEX('Step 4 Stage Discharge'!E$26:M$126,MATCH('Step 6 Quality Check'!C99,'Step 4 Stage Discharge'!E$26:E$126,1)+1,9)-INDEX('Step 4 Stage Discharge'!E$26:M$126,MATCH('Step 6 Quality Check'!C99,'Step 4 Stage Discharge'!E$26:E$126,1),9))*('Step 6 Quality Check'!C99-INDEX('Step 4 Stage Discharge'!E$26:M$126,MATCH('Step 6 Quality Check'!C99,'Step 4 Stage Discharge'!E$26:E$126,1),1))/(INDEX('Step 4 Stage Discharge'!E$26:M$126,MATCH('Step 6 Quality Check'!C99,'Step 4 Stage Discharge'!E$26:E$126,1)+1,1)-INDEX('Step 4 Stage Discharge'!E$26:M$126,MATCH('Step 6 Quality Check'!C99,'Step 4 Stage Discharge'!E$26:E$126,1),1))</f>
        <v>4.3639431710317386E-3</v>
      </c>
      <c r="F99" s="218">
        <f t="shared" si="5"/>
        <v>0</v>
      </c>
      <c r="G99" s="218">
        <f t="shared" si="6"/>
        <v>0</v>
      </c>
    </row>
    <row r="100" spans="1:7">
      <c r="A100" s="217">
        <f t="shared" si="7"/>
        <v>420</v>
      </c>
      <c r="B100" s="216">
        <f t="shared" si="8"/>
        <v>99.1</v>
      </c>
      <c r="C100" s="218">
        <f t="shared" si="9"/>
        <v>0</v>
      </c>
      <c r="D100" s="219">
        <f>INDEX('Step 4 Stage Discharge'!E$26:F$126,MATCH(C100,'Step 4 Stage Discharge'!E$26:E$126,1),2)+(INDEX('Step 4 Stage Discharge'!E$26:F$126,MATCH(C100,'Step 4 Stage Discharge'!E$26:E$126,1)+1,2)-INDEX('Step 4 Stage Discharge'!E$26:F$126,MATCH(C100,'Step 4 Stage Discharge'!E$26:E$126,1),2))*(C100-INDEX('Step 4 Stage Discharge'!E$26:F$126,MATCH(C100,'Step 4 Stage Discharge'!E$26:E$126,1),1))/(INDEX('Step 4 Stage Discharge'!E$26:F$126,MATCH(C100,'Step 4 Stage Discharge'!E$26:E$126,1)+1,1)-INDEX('Step 4 Stage Discharge'!E$26:F$126,MATCH(C100,'Step 4 Stage Discharge'!E$26:E$126,1),1))</f>
        <v>0</v>
      </c>
      <c r="E100" s="219">
        <f>INDEX('Step 4 Stage Discharge'!E$26:M$126,MATCH(C100,'Step 4 Stage Discharge'!E$26:E$126,1),9)+(INDEX('Step 4 Stage Discharge'!E$26:M$126,MATCH('Step 6 Quality Check'!C100,'Step 4 Stage Discharge'!E$26:E$126,1)+1,9)-INDEX('Step 4 Stage Discharge'!E$26:M$126,MATCH('Step 6 Quality Check'!C100,'Step 4 Stage Discharge'!E$26:E$126,1),9))*('Step 6 Quality Check'!C100-INDEX('Step 4 Stage Discharge'!E$26:M$126,MATCH('Step 6 Quality Check'!C100,'Step 4 Stage Discharge'!E$26:E$126,1),1))/(INDEX('Step 4 Stage Discharge'!E$26:M$126,MATCH('Step 6 Quality Check'!C100,'Step 4 Stage Discharge'!E$26:E$126,1)+1,1)-INDEX('Step 4 Stage Discharge'!E$26:M$126,MATCH('Step 6 Quality Check'!C100,'Step 4 Stage Discharge'!E$26:E$126,1),1))</f>
        <v>4.3639431710317386E-3</v>
      </c>
      <c r="F100" s="218">
        <f t="shared" si="5"/>
        <v>0</v>
      </c>
      <c r="G100" s="218">
        <f t="shared" si="6"/>
        <v>0</v>
      </c>
    </row>
    <row r="101" spans="1:7">
      <c r="A101" s="217">
        <f t="shared" si="7"/>
        <v>425</v>
      </c>
      <c r="B101" s="216">
        <f t="shared" si="8"/>
        <v>99.1</v>
      </c>
      <c r="C101" s="218">
        <f t="shared" si="9"/>
        <v>0</v>
      </c>
      <c r="D101" s="219">
        <f>INDEX('Step 4 Stage Discharge'!E$26:F$126,MATCH(C101,'Step 4 Stage Discharge'!E$26:E$126,1),2)+(INDEX('Step 4 Stage Discharge'!E$26:F$126,MATCH(C101,'Step 4 Stage Discharge'!E$26:E$126,1)+1,2)-INDEX('Step 4 Stage Discharge'!E$26:F$126,MATCH(C101,'Step 4 Stage Discharge'!E$26:E$126,1),2))*(C101-INDEX('Step 4 Stage Discharge'!E$26:F$126,MATCH(C101,'Step 4 Stage Discharge'!E$26:E$126,1),1))/(INDEX('Step 4 Stage Discharge'!E$26:F$126,MATCH(C101,'Step 4 Stage Discharge'!E$26:E$126,1)+1,1)-INDEX('Step 4 Stage Discharge'!E$26:F$126,MATCH(C101,'Step 4 Stage Discharge'!E$26:E$126,1),1))</f>
        <v>0</v>
      </c>
      <c r="E101" s="219">
        <f>INDEX('Step 4 Stage Discharge'!E$26:M$126,MATCH(C101,'Step 4 Stage Discharge'!E$26:E$126,1),9)+(INDEX('Step 4 Stage Discharge'!E$26:M$126,MATCH('Step 6 Quality Check'!C101,'Step 4 Stage Discharge'!E$26:E$126,1)+1,9)-INDEX('Step 4 Stage Discharge'!E$26:M$126,MATCH('Step 6 Quality Check'!C101,'Step 4 Stage Discharge'!E$26:E$126,1),9))*('Step 6 Quality Check'!C101-INDEX('Step 4 Stage Discharge'!E$26:M$126,MATCH('Step 6 Quality Check'!C101,'Step 4 Stage Discharge'!E$26:E$126,1),1))/(INDEX('Step 4 Stage Discharge'!E$26:M$126,MATCH('Step 6 Quality Check'!C101,'Step 4 Stage Discharge'!E$26:E$126,1)+1,1)-INDEX('Step 4 Stage Discharge'!E$26:M$126,MATCH('Step 6 Quality Check'!C101,'Step 4 Stage Discharge'!E$26:E$126,1),1))</f>
        <v>4.3639431710317386E-3</v>
      </c>
      <c r="F101" s="218">
        <f t="shared" si="5"/>
        <v>0</v>
      </c>
      <c r="G101" s="218">
        <f t="shared" si="6"/>
        <v>0</v>
      </c>
    </row>
    <row r="102" spans="1:7">
      <c r="A102" s="217">
        <f t="shared" si="7"/>
        <v>430</v>
      </c>
      <c r="B102" s="216">
        <f t="shared" si="8"/>
        <v>99.1</v>
      </c>
      <c r="C102" s="218">
        <f t="shared" si="9"/>
        <v>0</v>
      </c>
      <c r="D102" s="219">
        <f>INDEX('Step 4 Stage Discharge'!E$26:F$126,MATCH(C102,'Step 4 Stage Discharge'!E$26:E$126,1),2)+(INDEX('Step 4 Stage Discharge'!E$26:F$126,MATCH(C102,'Step 4 Stage Discharge'!E$26:E$126,1)+1,2)-INDEX('Step 4 Stage Discharge'!E$26:F$126,MATCH(C102,'Step 4 Stage Discharge'!E$26:E$126,1),2))*(C102-INDEX('Step 4 Stage Discharge'!E$26:F$126,MATCH(C102,'Step 4 Stage Discharge'!E$26:E$126,1),1))/(INDEX('Step 4 Stage Discharge'!E$26:F$126,MATCH(C102,'Step 4 Stage Discharge'!E$26:E$126,1)+1,1)-INDEX('Step 4 Stage Discharge'!E$26:F$126,MATCH(C102,'Step 4 Stage Discharge'!E$26:E$126,1),1))</f>
        <v>0</v>
      </c>
      <c r="E102" s="219">
        <f>INDEX('Step 4 Stage Discharge'!E$26:M$126,MATCH(C102,'Step 4 Stage Discharge'!E$26:E$126,1),9)+(INDEX('Step 4 Stage Discharge'!E$26:M$126,MATCH('Step 6 Quality Check'!C102,'Step 4 Stage Discharge'!E$26:E$126,1)+1,9)-INDEX('Step 4 Stage Discharge'!E$26:M$126,MATCH('Step 6 Quality Check'!C102,'Step 4 Stage Discharge'!E$26:E$126,1),9))*('Step 6 Quality Check'!C102-INDEX('Step 4 Stage Discharge'!E$26:M$126,MATCH('Step 6 Quality Check'!C102,'Step 4 Stage Discharge'!E$26:E$126,1),1))/(INDEX('Step 4 Stage Discharge'!E$26:M$126,MATCH('Step 6 Quality Check'!C102,'Step 4 Stage Discharge'!E$26:E$126,1)+1,1)-INDEX('Step 4 Stage Discharge'!E$26:M$126,MATCH('Step 6 Quality Check'!C102,'Step 4 Stage Discharge'!E$26:E$126,1),1))</f>
        <v>4.3639431710317386E-3</v>
      </c>
      <c r="F102" s="218">
        <f t="shared" si="5"/>
        <v>0</v>
      </c>
      <c r="G102" s="218">
        <f t="shared" si="6"/>
        <v>0</v>
      </c>
    </row>
    <row r="103" spans="1:7">
      <c r="A103" s="217">
        <f t="shared" si="7"/>
        <v>435</v>
      </c>
      <c r="B103" s="216">
        <f t="shared" si="8"/>
        <v>99.1</v>
      </c>
      <c r="C103" s="218">
        <f t="shared" si="9"/>
        <v>0</v>
      </c>
      <c r="D103" s="219">
        <f>INDEX('Step 4 Stage Discharge'!E$26:F$126,MATCH(C103,'Step 4 Stage Discharge'!E$26:E$126,1),2)+(INDEX('Step 4 Stage Discharge'!E$26:F$126,MATCH(C103,'Step 4 Stage Discharge'!E$26:E$126,1)+1,2)-INDEX('Step 4 Stage Discharge'!E$26:F$126,MATCH(C103,'Step 4 Stage Discharge'!E$26:E$126,1),2))*(C103-INDEX('Step 4 Stage Discharge'!E$26:F$126,MATCH(C103,'Step 4 Stage Discharge'!E$26:E$126,1),1))/(INDEX('Step 4 Stage Discharge'!E$26:F$126,MATCH(C103,'Step 4 Stage Discharge'!E$26:E$126,1)+1,1)-INDEX('Step 4 Stage Discharge'!E$26:F$126,MATCH(C103,'Step 4 Stage Discharge'!E$26:E$126,1),1))</f>
        <v>0</v>
      </c>
      <c r="E103" s="219">
        <f>INDEX('Step 4 Stage Discharge'!E$26:M$126,MATCH(C103,'Step 4 Stage Discharge'!E$26:E$126,1),9)+(INDEX('Step 4 Stage Discharge'!E$26:M$126,MATCH('Step 6 Quality Check'!C103,'Step 4 Stage Discharge'!E$26:E$126,1)+1,9)-INDEX('Step 4 Stage Discharge'!E$26:M$126,MATCH('Step 6 Quality Check'!C103,'Step 4 Stage Discharge'!E$26:E$126,1),9))*('Step 6 Quality Check'!C103-INDEX('Step 4 Stage Discharge'!E$26:M$126,MATCH('Step 6 Quality Check'!C103,'Step 4 Stage Discharge'!E$26:E$126,1),1))/(INDEX('Step 4 Stage Discharge'!E$26:M$126,MATCH('Step 6 Quality Check'!C103,'Step 4 Stage Discharge'!E$26:E$126,1)+1,1)-INDEX('Step 4 Stage Discharge'!E$26:M$126,MATCH('Step 6 Quality Check'!C103,'Step 4 Stage Discharge'!E$26:E$126,1),1))</f>
        <v>4.3639431710317386E-3</v>
      </c>
      <c r="F103" s="218">
        <f t="shared" si="5"/>
        <v>0</v>
      </c>
      <c r="G103" s="218">
        <f t="shared" si="6"/>
        <v>0</v>
      </c>
    </row>
    <row r="104" spans="1:7">
      <c r="A104" s="217">
        <f t="shared" si="7"/>
        <v>440</v>
      </c>
      <c r="B104" s="216">
        <f t="shared" si="8"/>
        <v>99.1</v>
      </c>
      <c r="C104" s="218">
        <f t="shared" si="9"/>
        <v>0</v>
      </c>
      <c r="D104" s="219">
        <f>INDEX('Step 4 Stage Discharge'!E$26:F$126,MATCH(C104,'Step 4 Stage Discharge'!E$26:E$126,1),2)+(INDEX('Step 4 Stage Discharge'!E$26:F$126,MATCH(C104,'Step 4 Stage Discharge'!E$26:E$126,1)+1,2)-INDEX('Step 4 Stage Discharge'!E$26:F$126,MATCH(C104,'Step 4 Stage Discharge'!E$26:E$126,1),2))*(C104-INDEX('Step 4 Stage Discharge'!E$26:F$126,MATCH(C104,'Step 4 Stage Discharge'!E$26:E$126,1),1))/(INDEX('Step 4 Stage Discharge'!E$26:F$126,MATCH(C104,'Step 4 Stage Discharge'!E$26:E$126,1)+1,1)-INDEX('Step 4 Stage Discharge'!E$26:F$126,MATCH(C104,'Step 4 Stage Discharge'!E$26:E$126,1),1))</f>
        <v>0</v>
      </c>
      <c r="E104" s="219">
        <f>INDEX('Step 4 Stage Discharge'!E$26:M$126,MATCH(C104,'Step 4 Stage Discharge'!E$26:E$126,1),9)+(INDEX('Step 4 Stage Discharge'!E$26:M$126,MATCH('Step 6 Quality Check'!C104,'Step 4 Stage Discharge'!E$26:E$126,1)+1,9)-INDEX('Step 4 Stage Discharge'!E$26:M$126,MATCH('Step 6 Quality Check'!C104,'Step 4 Stage Discharge'!E$26:E$126,1),9))*('Step 6 Quality Check'!C104-INDEX('Step 4 Stage Discharge'!E$26:M$126,MATCH('Step 6 Quality Check'!C104,'Step 4 Stage Discharge'!E$26:E$126,1),1))/(INDEX('Step 4 Stage Discharge'!E$26:M$126,MATCH('Step 6 Quality Check'!C104,'Step 4 Stage Discharge'!E$26:E$126,1)+1,1)-INDEX('Step 4 Stage Discharge'!E$26:M$126,MATCH('Step 6 Quality Check'!C104,'Step 4 Stage Discharge'!E$26:E$126,1),1))</f>
        <v>4.3639431710317386E-3</v>
      </c>
      <c r="F104" s="218">
        <f t="shared" si="5"/>
        <v>0</v>
      </c>
      <c r="G104" s="218">
        <f t="shared" si="6"/>
        <v>0</v>
      </c>
    </row>
    <row r="105" spans="1:7">
      <c r="A105" s="217">
        <f t="shared" si="7"/>
        <v>445</v>
      </c>
      <c r="B105" s="216">
        <f t="shared" si="8"/>
        <v>99.1</v>
      </c>
      <c r="C105" s="218">
        <f t="shared" si="9"/>
        <v>0</v>
      </c>
      <c r="D105" s="219">
        <f>INDEX('Step 4 Stage Discharge'!E$26:F$126,MATCH(C105,'Step 4 Stage Discharge'!E$26:E$126,1),2)+(INDEX('Step 4 Stage Discharge'!E$26:F$126,MATCH(C105,'Step 4 Stage Discharge'!E$26:E$126,1)+1,2)-INDEX('Step 4 Stage Discharge'!E$26:F$126,MATCH(C105,'Step 4 Stage Discharge'!E$26:E$126,1),2))*(C105-INDEX('Step 4 Stage Discharge'!E$26:F$126,MATCH(C105,'Step 4 Stage Discharge'!E$26:E$126,1),1))/(INDEX('Step 4 Stage Discharge'!E$26:F$126,MATCH(C105,'Step 4 Stage Discharge'!E$26:E$126,1)+1,1)-INDEX('Step 4 Stage Discharge'!E$26:F$126,MATCH(C105,'Step 4 Stage Discharge'!E$26:E$126,1),1))</f>
        <v>0</v>
      </c>
      <c r="E105" s="219">
        <f>INDEX('Step 4 Stage Discharge'!E$26:M$126,MATCH(C105,'Step 4 Stage Discharge'!E$26:E$126,1),9)+(INDEX('Step 4 Stage Discharge'!E$26:M$126,MATCH('Step 6 Quality Check'!C105,'Step 4 Stage Discharge'!E$26:E$126,1)+1,9)-INDEX('Step 4 Stage Discharge'!E$26:M$126,MATCH('Step 6 Quality Check'!C105,'Step 4 Stage Discharge'!E$26:E$126,1),9))*('Step 6 Quality Check'!C105-INDEX('Step 4 Stage Discharge'!E$26:M$126,MATCH('Step 6 Quality Check'!C105,'Step 4 Stage Discharge'!E$26:E$126,1),1))/(INDEX('Step 4 Stage Discharge'!E$26:M$126,MATCH('Step 6 Quality Check'!C105,'Step 4 Stage Discharge'!E$26:E$126,1)+1,1)-INDEX('Step 4 Stage Discharge'!E$26:M$126,MATCH('Step 6 Quality Check'!C105,'Step 4 Stage Discharge'!E$26:E$126,1),1))</f>
        <v>4.3639431710317386E-3</v>
      </c>
      <c r="F105" s="218">
        <f t="shared" si="5"/>
        <v>0</v>
      </c>
      <c r="G105" s="218">
        <f t="shared" si="6"/>
        <v>0</v>
      </c>
    </row>
    <row r="106" spans="1:7">
      <c r="A106" s="217">
        <f t="shared" si="7"/>
        <v>450</v>
      </c>
      <c r="B106" s="216">
        <f t="shared" si="8"/>
        <v>99.1</v>
      </c>
      <c r="C106" s="218">
        <f t="shared" si="9"/>
        <v>0</v>
      </c>
      <c r="D106" s="219">
        <f>INDEX('Step 4 Stage Discharge'!E$26:F$126,MATCH(C106,'Step 4 Stage Discharge'!E$26:E$126,1),2)+(INDEX('Step 4 Stage Discharge'!E$26:F$126,MATCH(C106,'Step 4 Stage Discharge'!E$26:E$126,1)+1,2)-INDEX('Step 4 Stage Discharge'!E$26:F$126,MATCH(C106,'Step 4 Stage Discharge'!E$26:E$126,1),2))*(C106-INDEX('Step 4 Stage Discharge'!E$26:F$126,MATCH(C106,'Step 4 Stage Discharge'!E$26:E$126,1),1))/(INDEX('Step 4 Stage Discharge'!E$26:F$126,MATCH(C106,'Step 4 Stage Discharge'!E$26:E$126,1)+1,1)-INDEX('Step 4 Stage Discharge'!E$26:F$126,MATCH(C106,'Step 4 Stage Discharge'!E$26:E$126,1),1))</f>
        <v>0</v>
      </c>
      <c r="E106" s="219">
        <f>INDEX('Step 4 Stage Discharge'!E$26:M$126,MATCH(C106,'Step 4 Stage Discharge'!E$26:E$126,1),9)+(INDEX('Step 4 Stage Discharge'!E$26:M$126,MATCH('Step 6 Quality Check'!C106,'Step 4 Stage Discharge'!E$26:E$126,1)+1,9)-INDEX('Step 4 Stage Discharge'!E$26:M$126,MATCH('Step 6 Quality Check'!C106,'Step 4 Stage Discharge'!E$26:E$126,1),9))*('Step 6 Quality Check'!C106-INDEX('Step 4 Stage Discharge'!E$26:M$126,MATCH('Step 6 Quality Check'!C106,'Step 4 Stage Discharge'!E$26:E$126,1),1))/(INDEX('Step 4 Stage Discharge'!E$26:M$126,MATCH('Step 6 Quality Check'!C106,'Step 4 Stage Discharge'!E$26:E$126,1)+1,1)-INDEX('Step 4 Stage Discharge'!E$26:M$126,MATCH('Step 6 Quality Check'!C106,'Step 4 Stage Discharge'!E$26:E$126,1),1))</f>
        <v>4.3639431710317386E-3</v>
      </c>
      <c r="F106" s="218">
        <f t="shared" si="5"/>
        <v>0</v>
      </c>
      <c r="G106" s="218">
        <f t="shared" si="6"/>
        <v>0</v>
      </c>
    </row>
    <row r="107" spans="1:7">
      <c r="A107" s="217">
        <f t="shared" si="7"/>
        <v>455</v>
      </c>
      <c r="B107" s="216">
        <f t="shared" si="8"/>
        <v>99.1</v>
      </c>
      <c r="C107" s="218">
        <f t="shared" si="9"/>
        <v>0</v>
      </c>
      <c r="D107" s="219">
        <f>INDEX('Step 4 Stage Discharge'!E$26:F$126,MATCH(C107,'Step 4 Stage Discharge'!E$26:E$126,1),2)+(INDEX('Step 4 Stage Discharge'!E$26:F$126,MATCH(C107,'Step 4 Stage Discharge'!E$26:E$126,1)+1,2)-INDEX('Step 4 Stage Discharge'!E$26:F$126,MATCH(C107,'Step 4 Stage Discharge'!E$26:E$126,1),2))*(C107-INDEX('Step 4 Stage Discharge'!E$26:F$126,MATCH(C107,'Step 4 Stage Discharge'!E$26:E$126,1),1))/(INDEX('Step 4 Stage Discharge'!E$26:F$126,MATCH(C107,'Step 4 Stage Discharge'!E$26:E$126,1)+1,1)-INDEX('Step 4 Stage Discharge'!E$26:F$126,MATCH(C107,'Step 4 Stage Discharge'!E$26:E$126,1),1))</f>
        <v>0</v>
      </c>
      <c r="E107" s="219">
        <f>INDEX('Step 4 Stage Discharge'!E$26:M$126,MATCH(C107,'Step 4 Stage Discharge'!E$26:E$126,1),9)+(INDEX('Step 4 Stage Discharge'!E$26:M$126,MATCH('Step 6 Quality Check'!C107,'Step 4 Stage Discharge'!E$26:E$126,1)+1,9)-INDEX('Step 4 Stage Discharge'!E$26:M$126,MATCH('Step 6 Quality Check'!C107,'Step 4 Stage Discharge'!E$26:E$126,1),9))*('Step 6 Quality Check'!C107-INDEX('Step 4 Stage Discharge'!E$26:M$126,MATCH('Step 6 Quality Check'!C107,'Step 4 Stage Discharge'!E$26:E$126,1),1))/(INDEX('Step 4 Stage Discharge'!E$26:M$126,MATCH('Step 6 Quality Check'!C107,'Step 4 Stage Discharge'!E$26:E$126,1)+1,1)-INDEX('Step 4 Stage Discharge'!E$26:M$126,MATCH('Step 6 Quality Check'!C107,'Step 4 Stage Discharge'!E$26:E$126,1),1))</f>
        <v>4.3639431710317386E-3</v>
      </c>
      <c r="F107" s="218">
        <f t="shared" si="5"/>
        <v>0</v>
      </c>
      <c r="G107" s="218">
        <f t="shared" si="6"/>
        <v>0</v>
      </c>
    </row>
    <row r="108" spans="1:7">
      <c r="A108" s="217">
        <f t="shared" si="7"/>
        <v>460</v>
      </c>
      <c r="B108" s="216">
        <f t="shared" si="8"/>
        <v>99.1</v>
      </c>
      <c r="C108" s="218">
        <f t="shared" si="9"/>
        <v>0</v>
      </c>
      <c r="D108" s="219">
        <f>INDEX('Step 4 Stage Discharge'!E$26:F$126,MATCH(C108,'Step 4 Stage Discharge'!E$26:E$126,1),2)+(INDEX('Step 4 Stage Discharge'!E$26:F$126,MATCH(C108,'Step 4 Stage Discharge'!E$26:E$126,1)+1,2)-INDEX('Step 4 Stage Discharge'!E$26:F$126,MATCH(C108,'Step 4 Stage Discharge'!E$26:E$126,1),2))*(C108-INDEX('Step 4 Stage Discharge'!E$26:F$126,MATCH(C108,'Step 4 Stage Discharge'!E$26:E$126,1),1))/(INDEX('Step 4 Stage Discharge'!E$26:F$126,MATCH(C108,'Step 4 Stage Discharge'!E$26:E$126,1)+1,1)-INDEX('Step 4 Stage Discharge'!E$26:F$126,MATCH(C108,'Step 4 Stage Discharge'!E$26:E$126,1),1))</f>
        <v>0</v>
      </c>
      <c r="E108" s="219">
        <f>INDEX('Step 4 Stage Discharge'!E$26:M$126,MATCH(C108,'Step 4 Stage Discharge'!E$26:E$126,1),9)+(INDEX('Step 4 Stage Discharge'!E$26:M$126,MATCH('Step 6 Quality Check'!C108,'Step 4 Stage Discharge'!E$26:E$126,1)+1,9)-INDEX('Step 4 Stage Discharge'!E$26:M$126,MATCH('Step 6 Quality Check'!C108,'Step 4 Stage Discharge'!E$26:E$126,1),9))*('Step 6 Quality Check'!C108-INDEX('Step 4 Stage Discharge'!E$26:M$126,MATCH('Step 6 Quality Check'!C108,'Step 4 Stage Discharge'!E$26:E$126,1),1))/(INDEX('Step 4 Stage Discharge'!E$26:M$126,MATCH('Step 6 Quality Check'!C108,'Step 4 Stage Discharge'!E$26:E$126,1)+1,1)-INDEX('Step 4 Stage Discharge'!E$26:M$126,MATCH('Step 6 Quality Check'!C108,'Step 4 Stage Discharge'!E$26:E$126,1),1))</f>
        <v>4.3639431710317386E-3</v>
      </c>
      <c r="F108" s="218">
        <f t="shared" si="5"/>
        <v>0</v>
      </c>
      <c r="G108" s="218">
        <f t="shared" si="6"/>
        <v>0</v>
      </c>
    </row>
    <row r="109" spans="1:7">
      <c r="A109" s="217">
        <f t="shared" si="7"/>
        <v>465</v>
      </c>
      <c r="B109" s="216">
        <f t="shared" si="8"/>
        <v>99.1</v>
      </c>
      <c r="C109" s="218">
        <f t="shared" si="9"/>
        <v>0</v>
      </c>
      <c r="D109" s="219">
        <f>INDEX('Step 4 Stage Discharge'!E$26:F$126,MATCH(C109,'Step 4 Stage Discharge'!E$26:E$126,1),2)+(INDEX('Step 4 Stage Discharge'!E$26:F$126,MATCH(C109,'Step 4 Stage Discharge'!E$26:E$126,1)+1,2)-INDEX('Step 4 Stage Discharge'!E$26:F$126,MATCH(C109,'Step 4 Stage Discharge'!E$26:E$126,1),2))*(C109-INDEX('Step 4 Stage Discharge'!E$26:F$126,MATCH(C109,'Step 4 Stage Discharge'!E$26:E$126,1),1))/(INDEX('Step 4 Stage Discharge'!E$26:F$126,MATCH(C109,'Step 4 Stage Discharge'!E$26:E$126,1)+1,1)-INDEX('Step 4 Stage Discharge'!E$26:F$126,MATCH(C109,'Step 4 Stage Discharge'!E$26:E$126,1),1))</f>
        <v>0</v>
      </c>
      <c r="E109" s="219">
        <f>INDEX('Step 4 Stage Discharge'!E$26:M$126,MATCH(C109,'Step 4 Stage Discharge'!E$26:E$126,1),9)+(INDEX('Step 4 Stage Discharge'!E$26:M$126,MATCH('Step 6 Quality Check'!C109,'Step 4 Stage Discharge'!E$26:E$126,1)+1,9)-INDEX('Step 4 Stage Discharge'!E$26:M$126,MATCH('Step 6 Quality Check'!C109,'Step 4 Stage Discharge'!E$26:E$126,1),9))*('Step 6 Quality Check'!C109-INDEX('Step 4 Stage Discharge'!E$26:M$126,MATCH('Step 6 Quality Check'!C109,'Step 4 Stage Discharge'!E$26:E$126,1),1))/(INDEX('Step 4 Stage Discharge'!E$26:M$126,MATCH('Step 6 Quality Check'!C109,'Step 4 Stage Discharge'!E$26:E$126,1)+1,1)-INDEX('Step 4 Stage Discharge'!E$26:M$126,MATCH('Step 6 Quality Check'!C109,'Step 4 Stage Discharge'!E$26:E$126,1),1))</f>
        <v>4.3639431710317386E-3</v>
      </c>
      <c r="F109" s="218">
        <f t="shared" si="5"/>
        <v>0</v>
      </c>
      <c r="G109" s="218">
        <f t="shared" si="6"/>
        <v>0</v>
      </c>
    </row>
    <row r="110" spans="1:7">
      <c r="A110" s="217">
        <f t="shared" si="7"/>
        <v>470</v>
      </c>
      <c r="B110" s="216">
        <f t="shared" si="8"/>
        <v>99.1</v>
      </c>
      <c r="C110" s="218">
        <f t="shared" si="9"/>
        <v>0</v>
      </c>
      <c r="D110" s="219">
        <f>INDEX('Step 4 Stage Discharge'!E$26:F$126,MATCH(C110,'Step 4 Stage Discharge'!E$26:E$126,1),2)+(INDEX('Step 4 Stage Discharge'!E$26:F$126,MATCH(C110,'Step 4 Stage Discharge'!E$26:E$126,1)+1,2)-INDEX('Step 4 Stage Discharge'!E$26:F$126,MATCH(C110,'Step 4 Stage Discharge'!E$26:E$126,1),2))*(C110-INDEX('Step 4 Stage Discharge'!E$26:F$126,MATCH(C110,'Step 4 Stage Discharge'!E$26:E$126,1),1))/(INDEX('Step 4 Stage Discharge'!E$26:F$126,MATCH(C110,'Step 4 Stage Discharge'!E$26:E$126,1)+1,1)-INDEX('Step 4 Stage Discharge'!E$26:F$126,MATCH(C110,'Step 4 Stage Discharge'!E$26:E$126,1),1))</f>
        <v>0</v>
      </c>
      <c r="E110" s="219">
        <f>INDEX('Step 4 Stage Discharge'!E$26:M$126,MATCH(C110,'Step 4 Stage Discharge'!E$26:E$126,1),9)+(INDEX('Step 4 Stage Discharge'!E$26:M$126,MATCH('Step 6 Quality Check'!C110,'Step 4 Stage Discharge'!E$26:E$126,1)+1,9)-INDEX('Step 4 Stage Discharge'!E$26:M$126,MATCH('Step 6 Quality Check'!C110,'Step 4 Stage Discharge'!E$26:E$126,1),9))*('Step 6 Quality Check'!C110-INDEX('Step 4 Stage Discharge'!E$26:M$126,MATCH('Step 6 Quality Check'!C110,'Step 4 Stage Discharge'!E$26:E$126,1),1))/(INDEX('Step 4 Stage Discharge'!E$26:M$126,MATCH('Step 6 Quality Check'!C110,'Step 4 Stage Discharge'!E$26:E$126,1)+1,1)-INDEX('Step 4 Stage Discharge'!E$26:M$126,MATCH('Step 6 Quality Check'!C110,'Step 4 Stage Discharge'!E$26:E$126,1),1))</f>
        <v>4.3639431710317386E-3</v>
      </c>
      <c r="F110" s="218">
        <f t="shared" si="5"/>
        <v>0</v>
      </c>
      <c r="G110" s="218">
        <f t="shared" si="6"/>
        <v>0</v>
      </c>
    </row>
    <row r="111" spans="1:7">
      <c r="A111" s="217">
        <f t="shared" si="7"/>
        <v>475</v>
      </c>
      <c r="B111" s="216">
        <f t="shared" si="8"/>
        <v>99.1</v>
      </c>
      <c r="C111" s="218">
        <f t="shared" si="9"/>
        <v>0</v>
      </c>
      <c r="D111" s="219">
        <f>INDEX('Step 4 Stage Discharge'!E$26:F$126,MATCH(C111,'Step 4 Stage Discharge'!E$26:E$126,1),2)+(INDEX('Step 4 Stage Discharge'!E$26:F$126,MATCH(C111,'Step 4 Stage Discharge'!E$26:E$126,1)+1,2)-INDEX('Step 4 Stage Discharge'!E$26:F$126,MATCH(C111,'Step 4 Stage Discharge'!E$26:E$126,1),2))*(C111-INDEX('Step 4 Stage Discharge'!E$26:F$126,MATCH(C111,'Step 4 Stage Discharge'!E$26:E$126,1),1))/(INDEX('Step 4 Stage Discharge'!E$26:F$126,MATCH(C111,'Step 4 Stage Discharge'!E$26:E$126,1)+1,1)-INDEX('Step 4 Stage Discharge'!E$26:F$126,MATCH(C111,'Step 4 Stage Discharge'!E$26:E$126,1),1))</f>
        <v>0</v>
      </c>
      <c r="E111" s="219">
        <f>INDEX('Step 4 Stage Discharge'!E$26:M$126,MATCH(C111,'Step 4 Stage Discharge'!E$26:E$126,1),9)+(INDEX('Step 4 Stage Discharge'!E$26:M$126,MATCH('Step 6 Quality Check'!C111,'Step 4 Stage Discharge'!E$26:E$126,1)+1,9)-INDEX('Step 4 Stage Discharge'!E$26:M$126,MATCH('Step 6 Quality Check'!C111,'Step 4 Stage Discharge'!E$26:E$126,1),9))*('Step 6 Quality Check'!C111-INDEX('Step 4 Stage Discharge'!E$26:M$126,MATCH('Step 6 Quality Check'!C111,'Step 4 Stage Discharge'!E$26:E$126,1),1))/(INDEX('Step 4 Stage Discharge'!E$26:M$126,MATCH('Step 6 Quality Check'!C111,'Step 4 Stage Discharge'!E$26:E$126,1)+1,1)-INDEX('Step 4 Stage Discharge'!E$26:M$126,MATCH('Step 6 Quality Check'!C111,'Step 4 Stage Discharge'!E$26:E$126,1),1))</f>
        <v>4.3639431710317386E-3</v>
      </c>
      <c r="F111" s="218">
        <f t="shared" si="5"/>
        <v>0</v>
      </c>
      <c r="G111" s="218">
        <f t="shared" si="6"/>
        <v>0</v>
      </c>
    </row>
    <row r="112" spans="1:7">
      <c r="A112" s="217">
        <f t="shared" si="7"/>
        <v>480</v>
      </c>
      <c r="B112" s="216">
        <f t="shared" si="8"/>
        <v>99.1</v>
      </c>
      <c r="C112" s="218">
        <f t="shared" si="9"/>
        <v>0</v>
      </c>
      <c r="D112" s="219">
        <f>INDEX('Step 4 Stage Discharge'!E$26:F$126,MATCH(C112,'Step 4 Stage Discharge'!E$26:E$126,1),2)+(INDEX('Step 4 Stage Discharge'!E$26:F$126,MATCH(C112,'Step 4 Stage Discharge'!E$26:E$126,1)+1,2)-INDEX('Step 4 Stage Discharge'!E$26:F$126,MATCH(C112,'Step 4 Stage Discharge'!E$26:E$126,1),2))*(C112-INDEX('Step 4 Stage Discharge'!E$26:F$126,MATCH(C112,'Step 4 Stage Discharge'!E$26:E$126,1),1))/(INDEX('Step 4 Stage Discharge'!E$26:F$126,MATCH(C112,'Step 4 Stage Discharge'!E$26:E$126,1)+1,1)-INDEX('Step 4 Stage Discharge'!E$26:F$126,MATCH(C112,'Step 4 Stage Discharge'!E$26:E$126,1),1))</f>
        <v>0</v>
      </c>
      <c r="E112" s="219">
        <f>INDEX('Step 4 Stage Discharge'!E$26:M$126,MATCH(C112,'Step 4 Stage Discharge'!E$26:E$126,1),9)+(INDEX('Step 4 Stage Discharge'!E$26:M$126,MATCH('Step 6 Quality Check'!C112,'Step 4 Stage Discharge'!E$26:E$126,1)+1,9)-INDEX('Step 4 Stage Discharge'!E$26:M$126,MATCH('Step 6 Quality Check'!C112,'Step 4 Stage Discharge'!E$26:E$126,1),9))*('Step 6 Quality Check'!C112-INDEX('Step 4 Stage Discharge'!E$26:M$126,MATCH('Step 6 Quality Check'!C112,'Step 4 Stage Discharge'!E$26:E$126,1),1))/(INDEX('Step 4 Stage Discharge'!E$26:M$126,MATCH('Step 6 Quality Check'!C112,'Step 4 Stage Discharge'!E$26:E$126,1)+1,1)-INDEX('Step 4 Stage Discharge'!E$26:M$126,MATCH('Step 6 Quality Check'!C112,'Step 4 Stage Discharge'!E$26:E$126,1),1))</f>
        <v>4.3639431710317386E-3</v>
      </c>
      <c r="F112" s="218">
        <f t="shared" si="5"/>
        <v>0</v>
      </c>
      <c r="G112" s="218">
        <f t="shared" si="6"/>
        <v>0</v>
      </c>
    </row>
    <row r="113" spans="1:7">
      <c r="A113" s="217">
        <f t="shared" si="7"/>
        <v>485</v>
      </c>
      <c r="B113" s="216">
        <f t="shared" si="8"/>
        <v>99.1</v>
      </c>
      <c r="C113" s="218">
        <f t="shared" si="9"/>
        <v>0</v>
      </c>
      <c r="D113" s="219">
        <f>INDEX('Step 4 Stage Discharge'!E$26:F$126,MATCH(C113,'Step 4 Stage Discharge'!E$26:E$126,1),2)+(INDEX('Step 4 Stage Discharge'!E$26:F$126,MATCH(C113,'Step 4 Stage Discharge'!E$26:E$126,1)+1,2)-INDEX('Step 4 Stage Discharge'!E$26:F$126,MATCH(C113,'Step 4 Stage Discharge'!E$26:E$126,1),2))*(C113-INDEX('Step 4 Stage Discharge'!E$26:F$126,MATCH(C113,'Step 4 Stage Discharge'!E$26:E$126,1),1))/(INDEX('Step 4 Stage Discharge'!E$26:F$126,MATCH(C113,'Step 4 Stage Discharge'!E$26:E$126,1)+1,1)-INDEX('Step 4 Stage Discharge'!E$26:F$126,MATCH(C113,'Step 4 Stage Discharge'!E$26:E$126,1),1))</f>
        <v>0</v>
      </c>
      <c r="E113" s="219">
        <f>INDEX('Step 4 Stage Discharge'!E$26:M$126,MATCH(C113,'Step 4 Stage Discharge'!E$26:E$126,1),9)+(INDEX('Step 4 Stage Discharge'!E$26:M$126,MATCH('Step 6 Quality Check'!C113,'Step 4 Stage Discharge'!E$26:E$126,1)+1,9)-INDEX('Step 4 Stage Discharge'!E$26:M$126,MATCH('Step 6 Quality Check'!C113,'Step 4 Stage Discharge'!E$26:E$126,1),9))*('Step 6 Quality Check'!C113-INDEX('Step 4 Stage Discharge'!E$26:M$126,MATCH('Step 6 Quality Check'!C113,'Step 4 Stage Discharge'!E$26:E$126,1),1))/(INDEX('Step 4 Stage Discharge'!E$26:M$126,MATCH('Step 6 Quality Check'!C113,'Step 4 Stage Discharge'!E$26:E$126,1)+1,1)-INDEX('Step 4 Stage Discharge'!E$26:M$126,MATCH('Step 6 Quality Check'!C113,'Step 4 Stage Discharge'!E$26:E$126,1),1))</f>
        <v>4.3639431710317386E-3</v>
      </c>
      <c r="F113" s="218">
        <f t="shared" si="5"/>
        <v>0</v>
      </c>
      <c r="G113" s="218">
        <f t="shared" si="6"/>
        <v>0</v>
      </c>
    </row>
    <row r="114" spans="1:7">
      <c r="A114" s="217">
        <f t="shared" si="7"/>
        <v>490</v>
      </c>
      <c r="B114" s="216">
        <f t="shared" si="8"/>
        <v>99.1</v>
      </c>
      <c r="C114" s="218">
        <f t="shared" si="9"/>
        <v>0</v>
      </c>
      <c r="D114" s="219">
        <f>INDEX('Step 4 Stage Discharge'!E$26:F$126,MATCH(C114,'Step 4 Stage Discharge'!E$26:E$126,1),2)+(INDEX('Step 4 Stage Discharge'!E$26:F$126,MATCH(C114,'Step 4 Stage Discharge'!E$26:E$126,1)+1,2)-INDEX('Step 4 Stage Discharge'!E$26:F$126,MATCH(C114,'Step 4 Stage Discharge'!E$26:E$126,1),2))*(C114-INDEX('Step 4 Stage Discharge'!E$26:F$126,MATCH(C114,'Step 4 Stage Discharge'!E$26:E$126,1),1))/(INDEX('Step 4 Stage Discharge'!E$26:F$126,MATCH(C114,'Step 4 Stage Discharge'!E$26:E$126,1)+1,1)-INDEX('Step 4 Stage Discharge'!E$26:F$126,MATCH(C114,'Step 4 Stage Discharge'!E$26:E$126,1),1))</f>
        <v>0</v>
      </c>
      <c r="E114" s="219">
        <f>INDEX('Step 4 Stage Discharge'!E$26:M$126,MATCH(C114,'Step 4 Stage Discharge'!E$26:E$126,1),9)+(INDEX('Step 4 Stage Discharge'!E$26:M$126,MATCH('Step 6 Quality Check'!C114,'Step 4 Stage Discharge'!E$26:E$126,1)+1,9)-INDEX('Step 4 Stage Discharge'!E$26:M$126,MATCH('Step 6 Quality Check'!C114,'Step 4 Stage Discharge'!E$26:E$126,1),9))*('Step 6 Quality Check'!C114-INDEX('Step 4 Stage Discharge'!E$26:M$126,MATCH('Step 6 Quality Check'!C114,'Step 4 Stage Discharge'!E$26:E$126,1),1))/(INDEX('Step 4 Stage Discharge'!E$26:M$126,MATCH('Step 6 Quality Check'!C114,'Step 4 Stage Discharge'!E$26:E$126,1)+1,1)-INDEX('Step 4 Stage Discharge'!E$26:M$126,MATCH('Step 6 Quality Check'!C114,'Step 4 Stage Discharge'!E$26:E$126,1),1))</f>
        <v>4.3639431710317386E-3</v>
      </c>
      <c r="F114" s="218">
        <f t="shared" si="5"/>
        <v>0</v>
      </c>
      <c r="G114" s="218">
        <f t="shared" si="6"/>
        <v>0</v>
      </c>
    </row>
    <row r="115" spans="1:7">
      <c r="A115" s="217">
        <f t="shared" si="7"/>
        <v>495</v>
      </c>
      <c r="B115" s="216">
        <f t="shared" si="8"/>
        <v>99.1</v>
      </c>
      <c r="C115" s="218">
        <f t="shared" si="9"/>
        <v>0</v>
      </c>
      <c r="D115" s="219">
        <f>INDEX('Step 4 Stage Discharge'!E$26:F$126,MATCH(C115,'Step 4 Stage Discharge'!E$26:E$126,1),2)+(INDEX('Step 4 Stage Discharge'!E$26:F$126,MATCH(C115,'Step 4 Stage Discharge'!E$26:E$126,1)+1,2)-INDEX('Step 4 Stage Discharge'!E$26:F$126,MATCH(C115,'Step 4 Stage Discharge'!E$26:E$126,1),2))*(C115-INDEX('Step 4 Stage Discharge'!E$26:F$126,MATCH(C115,'Step 4 Stage Discharge'!E$26:E$126,1),1))/(INDEX('Step 4 Stage Discharge'!E$26:F$126,MATCH(C115,'Step 4 Stage Discharge'!E$26:E$126,1)+1,1)-INDEX('Step 4 Stage Discharge'!E$26:F$126,MATCH(C115,'Step 4 Stage Discharge'!E$26:E$126,1),1))</f>
        <v>0</v>
      </c>
      <c r="E115" s="219">
        <f>INDEX('Step 4 Stage Discharge'!E$26:M$126,MATCH(C115,'Step 4 Stage Discharge'!E$26:E$126,1),9)+(INDEX('Step 4 Stage Discharge'!E$26:M$126,MATCH('Step 6 Quality Check'!C115,'Step 4 Stage Discharge'!E$26:E$126,1)+1,9)-INDEX('Step 4 Stage Discharge'!E$26:M$126,MATCH('Step 6 Quality Check'!C115,'Step 4 Stage Discharge'!E$26:E$126,1),9))*('Step 6 Quality Check'!C115-INDEX('Step 4 Stage Discharge'!E$26:M$126,MATCH('Step 6 Quality Check'!C115,'Step 4 Stage Discharge'!E$26:E$126,1),1))/(INDEX('Step 4 Stage Discharge'!E$26:M$126,MATCH('Step 6 Quality Check'!C115,'Step 4 Stage Discharge'!E$26:E$126,1)+1,1)-INDEX('Step 4 Stage Discharge'!E$26:M$126,MATCH('Step 6 Quality Check'!C115,'Step 4 Stage Discharge'!E$26:E$126,1),1))</f>
        <v>4.3639431710317386E-3</v>
      </c>
      <c r="F115" s="218">
        <f t="shared" si="5"/>
        <v>0</v>
      </c>
      <c r="G115" s="218">
        <f t="shared" si="6"/>
        <v>0</v>
      </c>
    </row>
    <row r="116" spans="1:7">
      <c r="A116" s="217">
        <f t="shared" si="7"/>
        <v>500</v>
      </c>
      <c r="B116" s="216">
        <f t="shared" si="8"/>
        <v>99.1</v>
      </c>
      <c r="C116" s="218">
        <f t="shared" si="9"/>
        <v>0</v>
      </c>
      <c r="D116" s="219">
        <f>INDEX('Step 4 Stage Discharge'!E$26:F$126,MATCH(C116,'Step 4 Stage Discharge'!E$26:E$126,1),2)+(INDEX('Step 4 Stage Discharge'!E$26:F$126,MATCH(C116,'Step 4 Stage Discharge'!E$26:E$126,1)+1,2)-INDEX('Step 4 Stage Discharge'!E$26:F$126,MATCH(C116,'Step 4 Stage Discharge'!E$26:E$126,1),2))*(C116-INDEX('Step 4 Stage Discharge'!E$26:F$126,MATCH(C116,'Step 4 Stage Discharge'!E$26:E$126,1),1))/(INDEX('Step 4 Stage Discharge'!E$26:F$126,MATCH(C116,'Step 4 Stage Discharge'!E$26:E$126,1)+1,1)-INDEX('Step 4 Stage Discharge'!E$26:F$126,MATCH(C116,'Step 4 Stage Discharge'!E$26:E$126,1),1))</f>
        <v>0</v>
      </c>
      <c r="E116" s="219">
        <f>INDEX('Step 4 Stage Discharge'!E$26:M$126,MATCH(C116,'Step 4 Stage Discharge'!E$26:E$126,1),9)+(INDEX('Step 4 Stage Discharge'!E$26:M$126,MATCH('Step 6 Quality Check'!C116,'Step 4 Stage Discharge'!E$26:E$126,1)+1,9)-INDEX('Step 4 Stage Discharge'!E$26:M$126,MATCH('Step 6 Quality Check'!C116,'Step 4 Stage Discharge'!E$26:E$126,1),9))*('Step 6 Quality Check'!C116-INDEX('Step 4 Stage Discharge'!E$26:M$126,MATCH('Step 6 Quality Check'!C116,'Step 4 Stage Discharge'!E$26:E$126,1),1))/(INDEX('Step 4 Stage Discharge'!E$26:M$126,MATCH('Step 6 Quality Check'!C116,'Step 4 Stage Discharge'!E$26:E$126,1)+1,1)-INDEX('Step 4 Stage Discharge'!E$26:M$126,MATCH('Step 6 Quality Check'!C116,'Step 4 Stage Discharge'!E$26:E$126,1),1))</f>
        <v>4.3639431710317386E-3</v>
      </c>
      <c r="F116" s="218">
        <f t="shared" si="5"/>
        <v>0</v>
      </c>
      <c r="G116" s="218">
        <f t="shared" si="6"/>
        <v>0</v>
      </c>
    </row>
    <row r="117" spans="1:7">
      <c r="A117" s="217">
        <f t="shared" si="7"/>
        <v>505</v>
      </c>
      <c r="B117" s="216">
        <f t="shared" si="8"/>
        <v>99.1</v>
      </c>
      <c r="C117" s="218">
        <f t="shared" si="9"/>
        <v>0</v>
      </c>
      <c r="D117" s="219">
        <f>INDEX('Step 4 Stage Discharge'!E$26:F$126,MATCH(C117,'Step 4 Stage Discharge'!E$26:E$126,1),2)+(INDEX('Step 4 Stage Discharge'!E$26:F$126,MATCH(C117,'Step 4 Stage Discharge'!E$26:E$126,1)+1,2)-INDEX('Step 4 Stage Discharge'!E$26:F$126,MATCH(C117,'Step 4 Stage Discharge'!E$26:E$126,1),2))*(C117-INDEX('Step 4 Stage Discharge'!E$26:F$126,MATCH(C117,'Step 4 Stage Discharge'!E$26:E$126,1),1))/(INDEX('Step 4 Stage Discharge'!E$26:F$126,MATCH(C117,'Step 4 Stage Discharge'!E$26:E$126,1)+1,1)-INDEX('Step 4 Stage Discharge'!E$26:F$126,MATCH(C117,'Step 4 Stage Discharge'!E$26:E$126,1),1))</f>
        <v>0</v>
      </c>
      <c r="E117" s="219">
        <f>INDEX('Step 4 Stage Discharge'!E$26:M$126,MATCH(C117,'Step 4 Stage Discharge'!E$26:E$126,1),9)+(INDEX('Step 4 Stage Discharge'!E$26:M$126,MATCH('Step 6 Quality Check'!C117,'Step 4 Stage Discharge'!E$26:E$126,1)+1,9)-INDEX('Step 4 Stage Discharge'!E$26:M$126,MATCH('Step 6 Quality Check'!C117,'Step 4 Stage Discharge'!E$26:E$126,1),9))*('Step 6 Quality Check'!C117-INDEX('Step 4 Stage Discharge'!E$26:M$126,MATCH('Step 6 Quality Check'!C117,'Step 4 Stage Discharge'!E$26:E$126,1),1))/(INDEX('Step 4 Stage Discharge'!E$26:M$126,MATCH('Step 6 Quality Check'!C117,'Step 4 Stage Discharge'!E$26:E$126,1)+1,1)-INDEX('Step 4 Stage Discharge'!E$26:M$126,MATCH('Step 6 Quality Check'!C117,'Step 4 Stage Discharge'!E$26:E$126,1),1))</f>
        <v>4.3639431710317386E-3</v>
      </c>
      <c r="F117" s="218">
        <f t="shared" si="5"/>
        <v>0</v>
      </c>
      <c r="G117" s="218">
        <f t="shared" si="6"/>
        <v>0</v>
      </c>
    </row>
    <row r="118" spans="1:7">
      <c r="A118" s="217">
        <f t="shared" si="7"/>
        <v>510</v>
      </c>
      <c r="B118" s="216">
        <f t="shared" si="8"/>
        <v>99.1</v>
      </c>
      <c r="C118" s="218">
        <f t="shared" si="9"/>
        <v>0</v>
      </c>
      <c r="D118" s="219">
        <f>INDEX('Step 4 Stage Discharge'!E$26:F$126,MATCH(C118,'Step 4 Stage Discharge'!E$26:E$126,1),2)+(INDEX('Step 4 Stage Discharge'!E$26:F$126,MATCH(C118,'Step 4 Stage Discharge'!E$26:E$126,1)+1,2)-INDEX('Step 4 Stage Discharge'!E$26:F$126,MATCH(C118,'Step 4 Stage Discharge'!E$26:E$126,1),2))*(C118-INDEX('Step 4 Stage Discharge'!E$26:F$126,MATCH(C118,'Step 4 Stage Discharge'!E$26:E$126,1),1))/(INDEX('Step 4 Stage Discharge'!E$26:F$126,MATCH(C118,'Step 4 Stage Discharge'!E$26:E$126,1)+1,1)-INDEX('Step 4 Stage Discharge'!E$26:F$126,MATCH(C118,'Step 4 Stage Discharge'!E$26:E$126,1),1))</f>
        <v>0</v>
      </c>
      <c r="E118" s="219">
        <f>INDEX('Step 4 Stage Discharge'!E$26:M$126,MATCH(C118,'Step 4 Stage Discharge'!E$26:E$126,1),9)+(INDEX('Step 4 Stage Discharge'!E$26:M$126,MATCH('Step 6 Quality Check'!C118,'Step 4 Stage Discharge'!E$26:E$126,1)+1,9)-INDEX('Step 4 Stage Discharge'!E$26:M$126,MATCH('Step 6 Quality Check'!C118,'Step 4 Stage Discharge'!E$26:E$126,1),9))*('Step 6 Quality Check'!C118-INDEX('Step 4 Stage Discharge'!E$26:M$126,MATCH('Step 6 Quality Check'!C118,'Step 4 Stage Discharge'!E$26:E$126,1),1))/(INDEX('Step 4 Stage Discharge'!E$26:M$126,MATCH('Step 6 Quality Check'!C118,'Step 4 Stage Discharge'!E$26:E$126,1)+1,1)-INDEX('Step 4 Stage Discharge'!E$26:M$126,MATCH('Step 6 Quality Check'!C118,'Step 4 Stage Discharge'!E$26:E$126,1),1))</f>
        <v>4.3639431710317386E-3</v>
      </c>
      <c r="F118" s="218">
        <f t="shared" si="5"/>
        <v>0</v>
      </c>
      <c r="G118" s="218">
        <f t="shared" si="6"/>
        <v>0</v>
      </c>
    </row>
    <row r="119" spans="1:7">
      <c r="A119" s="217">
        <f t="shared" si="7"/>
        <v>515</v>
      </c>
      <c r="B119" s="216">
        <f t="shared" si="8"/>
        <v>99.1</v>
      </c>
      <c r="C119" s="218">
        <f t="shared" si="9"/>
        <v>0</v>
      </c>
      <c r="D119" s="219">
        <f>INDEX('Step 4 Stage Discharge'!E$26:F$126,MATCH(C119,'Step 4 Stage Discharge'!E$26:E$126,1),2)+(INDEX('Step 4 Stage Discharge'!E$26:F$126,MATCH(C119,'Step 4 Stage Discharge'!E$26:E$126,1)+1,2)-INDEX('Step 4 Stage Discharge'!E$26:F$126,MATCH(C119,'Step 4 Stage Discharge'!E$26:E$126,1),2))*(C119-INDEX('Step 4 Stage Discharge'!E$26:F$126,MATCH(C119,'Step 4 Stage Discharge'!E$26:E$126,1),1))/(INDEX('Step 4 Stage Discharge'!E$26:F$126,MATCH(C119,'Step 4 Stage Discharge'!E$26:E$126,1)+1,1)-INDEX('Step 4 Stage Discharge'!E$26:F$126,MATCH(C119,'Step 4 Stage Discharge'!E$26:E$126,1),1))</f>
        <v>0</v>
      </c>
      <c r="E119" s="219">
        <f>INDEX('Step 4 Stage Discharge'!E$26:M$126,MATCH(C119,'Step 4 Stage Discharge'!E$26:E$126,1),9)+(INDEX('Step 4 Stage Discharge'!E$26:M$126,MATCH('Step 6 Quality Check'!C119,'Step 4 Stage Discharge'!E$26:E$126,1)+1,9)-INDEX('Step 4 Stage Discharge'!E$26:M$126,MATCH('Step 6 Quality Check'!C119,'Step 4 Stage Discharge'!E$26:E$126,1),9))*('Step 6 Quality Check'!C119-INDEX('Step 4 Stage Discharge'!E$26:M$126,MATCH('Step 6 Quality Check'!C119,'Step 4 Stage Discharge'!E$26:E$126,1),1))/(INDEX('Step 4 Stage Discharge'!E$26:M$126,MATCH('Step 6 Quality Check'!C119,'Step 4 Stage Discharge'!E$26:E$126,1)+1,1)-INDEX('Step 4 Stage Discharge'!E$26:M$126,MATCH('Step 6 Quality Check'!C119,'Step 4 Stage Discharge'!E$26:E$126,1),1))</f>
        <v>4.3639431710317386E-3</v>
      </c>
      <c r="F119" s="218">
        <f t="shared" si="5"/>
        <v>0</v>
      </c>
      <c r="G119" s="218">
        <f t="shared" si="6"/>
        <v>0</v>
      </c>
    </row>
    <row r="120" spans="1:7">
      <c r="A120" s="217">
        <f t="shared" si="7"/>
        <v>520</v>
      </c>
      <c r="B120" s="216">
        <f t="shared" si="8"/>
        <v>99.1</v>
      </c>
      <c r="C120" s="218">
        <f t="shared" si="9"/>
        <v>0</v>
      </c>
      <c r="D120" s="219">
        <f>INDEX('Step 4 Stage Discharge'!E$26:F$126,MATCH(C120,'Step 4 Stage Discharge'!E$26:E$126,1),2)+(INDEX('Step 4 Stage Discharge'!E$26:F$126,MATCH(C120,'Step 4 Stage Discharge'!E$26:E$126,1)+1,2)-INDEX('Step 4 Stage Discharge'!E$26:F$126,MATCH(C120,'Step 4 Stage Discharge'!E$26:E$126,1),2))*(C120-INDEX('Step 4 Stage Discharge'!E$26:F$126,MATCH(C120,'Step 4 Stage Discharge'!E$26:E$126,1),1))/(INDEX('Step 4 Stage Discharge'!E$26:F$126,MATCH(C120,'Step 4 Stage Discharge'!E$26:E$126,1)+1,1)-INDEX('Step 4 Stage Discharge'!E$26:F$126,MATCH(C120,'Step 4 Stage Discharge'!E$26:E$126,1),1))</f>
        <v>0</v>
      </c>
      <c r="E120" s="219">
        <f>INDEX('Step 4 Stage Discharge'!E$26:M$126,MATCH(C120,'Step 4 Stage Discharge'!E$26:E$126,1),9)+(INDEX('Step 4 Stage Discharge'!E$26:M$126,MATCH('Step 6 Quality Check'!C120,'Step 4 Stage Discharge'!E$26:E$126,1)+1,9)-INDEX('Step 4 Stage Discharge'!E$26:M$126,MATCH('Step 6 Quality Check'!C120,'Step 4 Stage Discharge'!E$26:E$126,1),9))*('Step 6 Quality Check'!C120-INDEX('Step 4 Stage Discharge'!E$26:M$126,MATCH('Step 6 Quality Check'!C120,'Step 4 Stage Discharge'!E$26:E$126,1),1))/(INDEX('Step 4 Stage Discharge'!E$26:M$126,MATCH('Step 6 Quality Check'!C120,'Step 4 Stage Discharge'!E$26:E$126,1)+1,1)-INDEX('Step 4 Stage Discharge'!E$26:M$126,MATCH('Step 6 Quality Check'!C120,'Step 4 Stage Discharge'!E$26:E$126,1),1))</f>
        <v>4.3639431710317386E-3</v>
      </c>
      <c r="F120" s="218">
        <f t="shared" si="5"/>
        <v>0</v>
      </c>
      <c r="G120" s="218">
        <f t="shared" si="6"/>
        <v>0</v>
      </c>
    </row>
    <row r="121" spans="1:7">
      <c r="A121" s="217">
        <f t="shared" si="7"/>
        <v>525</v>
      </c>
      <c r="B121" s="216">
        <f t="shared" si="8"/>
        <v>99.1</v>
      </c>
      <c r="C121" s="218">
        <f t="shared" si="9"/>
        <v>0</v>
      </c>
      <c r="D121" s="219">
        <f>INDEX('Step 4 Stage Discharge'!E$26:F$126,MATCH(C121,'Step 4 Stage Discharge'!E$26:E$126,1),2)+(INDEX('Step 4 Stage Discharge'!E$26:F$126,MATCH(C121,'Step 4 Stage Discharge'!E$26:E$126,1)+1,2)-INDEX('Step 4 Stage Discharge'!E$26:F$126,MATCH(C121,'Step 4 Stage Discharge'!E$26:E$126,1),2))*(C121-INDEX('Step 4 Stage Discharge'!E$26:F$126,MATCH(C121,'Step 4 Stage Discharge'!E$26:E$126,1),1))/(INDEX('Step 4 Stage Discharge'!E$26:F$126,MATCH(C121,'Step 4 Stage Discharge'!E$26:E$126,1)+1,1)-INDEX('Step 4 Stage Discharge'!E$26:F$126,MATCH(C121,'Step 4 Stage Discharge'!E$26:E$126,1),1))</f>
        <v>0</v>
      </c>
      <c r="E121" s="219">
        <f>INDEX('Step 4 Stage Discharge'!E$26:M$126,MATCH(C121,'Step 4 Stage Discharge'!E$26:E$126,1),9)+(INDEX('Step 4 Stage Discharge'!E$26:M$126,MATCH('Step 6 Quality Check'!C121,'Step 4 Stage Discharge'!E$26:E$126,1)+1,9)-INDEX('Step 4 Stage Discharge'!E$26:M$126,MATCH('Step 6 Quality Check'!C121,'Step 4 Stage Discharge'!E$26:E$126,1),9))*('Step 6 Quality Check'!C121-INDEX('Step 4 Stage Discharge'!E$26:M$126,MATCH('Step 6 Quality Check'!C121,'Step 4 Stage Discharge'!E$26:E$126,1),1))/(INDEX('Step 4 Stage Discharge'!E$26:M$126,MATCH('Step 6 Quality Check'!C121,'Step 4 Stage Discharge'!E$26:E$126,1)+1,1)-INDEX('Step 4 Stage Discharge'!E$26:M$126,MATCH('Step 6 Quality Check'!C121,'Step 4 Stage Discharge'!E$26:E$126,1),1))</f>
        <v>4.3639431710317386E-3</v>
      </c>
      <c r="F121" s="218">
        <f t="shared" si="5"/>
        <v>0</v>
      </c>
      <c r="G121" s="218">
        <f t="shared" si="6"/>
        <v>0</v>
      </c>
    </row>
    <row r="122" spans="1:7">
      <c r="A122" s="217">
        <f t="shared" si="7"/>
        <v>530</v>
      </c>
      <c r="B122" s="216">
        <f t="shared" si="8"/>
        <v>99.1</v>
      </c>
      <c r="C122" s="218">
        <f t="shared" si="9"/>
        <v>0</v>
      </c>
      <c r="D122" s="219">
        <f>INDEX('Step 4 Stage Discharge'!E$26:F$126,MATCH(C122,'Step 4 Stage Discharge'!E$26:E$126,1),2)+(INDEX('Step 4 Stage Discharge'!E$26:F$126,MATCH(C122,'Step 4 Stage Discharge'!E$26:E$126,1)+1,2)-INDEX('Step 4 Stage Discharge'!E$26:F$126,MATCH(C122,'Step 4 Stage Discharge'!E$26:E$126,1),2))*(C122-INDEX('Step 4 Stage Discharge'!E$26:F$126,MATCH(C122,'Step 4 Stage Discharge'!E$26:E$126,1),1))/(INDEX('Step 4 Stage Discharge'!E$26:F$126,MATCH(C122,'Step 4 Stage Discharge'!E$26:E$126,1)+1,1)-INDEX('Step 4 Stage Discharge'!E$26:F$126,MATCH(C122,'Step 4 Stage Discharge'!E$26:E$126,1),1))</f>
        <v>0</v>
      </c>
      <c r="E122" s="219">
        <f>INDEX('Step 4 Stage Discharge'!E$26:M$126,MATCH(C122,'Step 4 Stage Discharge'!E$26:E$126,1),9)+(INDEX('Step 4 Stage Discharge'!E$26:M$126,MATCH('Step 6 Quality Check'!C122,'Step 4 Stage Discharge'!E$26:E$126,1)+1,9)-INDEX('Step 4 Stage Discharge'!E$26:M$126,MATCH('Step 6 Quality Check'!C122,'Step 4 Stage Discharge'!E$26:E$126,1),9))*('Step 6 Quality Check'!C122-INDEX('Step 4 Stage Discharge'!E$26:M$126,MATCH('Step 6 Quality Check'!C122,'Step 4 Stage Discharge'!E$26:E$126,1),1))/(INDEX('Step 4 Stage Discharge'!E$26:M$126,MATCH('Step 6 Quality Check'!C122,'Step 4 Stage Discharge'!E$26:E$126,1)+1,1)-INDEX('Step 4 Stage Discharge'!E$26:M$126,MATCH('Step 6 Quality Check'!C122,'Step 4 Stage Discharge'!E$26:E$126,1),1))</f>
        <v>4.3639431710317386E-3</v>
      </c>
      <c r="F122" s="218">
        <f t="shared" si="5"/>
        <v>0</v>
      </c>
      <c r="G122" s="218">
        <f t="shared" si="6"/>
        <v>0</v>
      </c>
    </row>
    <row r="123" spans="1:7">
      <c r="A123" s="217">
        <f t="shared" si="7"/>
        <v>535</v>
      </c>
      <c r="B123" s="216">
        <f t="shared" si="8"/>
        <v>99.1</v>
      </c>
      <c r="C123" s="218">
        <f t="shared" si="9"/>
        <v>0</v>
      </c>
      <c r="D123" s="219">
        <f>INDEX('Step 4 Stage Discharge'!E$26:F$126,MATCH(C123,'Step 4 Stage Discharge'!E$26:E$126,1),2)+(INDEX('Step 4 Stage Discharge'!E$26:F$126,MATCH(C123,'Step 4 Stage Discharge'!E$26:E$126,1)+1,2)-INDEX('Step 4 Stage Discharge'!E$26:F$126,MATCH(C123,'Step 4 Stage Discharge'!E$26:E$126,1),2))*(C123-INDEX('Step 4 Stage Discharge'!E$26:F$126,MATCH(C123,'Step 4 Stage Discharge'!E$26:E$126,1),1))/(INDEX('Step 4 Stage Discharge'!E$26:F$126,MATCH(C123,'Step 4 Stage Discharge'!E$26:E$126,1)+1,1)-INDEX('Step 4 Stage Discharge'!E$26:F$126,MATCH(C123,'Step 4 Stage Discharge'!E$26:E$126,1),1))</f>
        <v>0</v>
      </c>
      <c r="E123" s="219">
        <f>INDEX('Step 4 Stage Discharge'!E$26:M$126,MATCH(C123,'Step 4 Stage Discharge'!E$26:E$126,1),9)+(INDEX('Step 4 Stage Discharge'!E$26:M$126,MATCH('Step 6 Quality Check'!C123,'Step 4 Stage Discharge'!E$26:E$126,1)+1,9)-INDEX('Step 4 Stage Discharge'!E$26:M$126,MATCH('Step 6 Quality Check'!C123,'Step 4 Stage Discharge'!E$26:E$126,1),9))*('Step 6 Quality Check'!C123-INDEX('Step 4 Stage Discharge'!E$26:M$126,MATCH('Step 6 Quality Check'!C123,'Step 4 Stage Discharge'!E$26:E$126,1),1))/(INDEX('Step 4 Stage Discharge'!E$26:M$126,MATCH('Step 6 Quality Check'!C123,'Step 4 Stage Discharge'!E$26:E$126,1)+1,1)-INDEX('Step 4 Stage Discharge'!E$26:M$126,MATCH('Step 6 Quality Check'!C123,'Step 4 Stage Discharge'!E$26:E$126,1),1))</f>
        <v>4.3639431710317386E-3</v>
      </c>
      <c r="F123" s="218">
        <f t="shared" si="5"/>
        <v>0</v>
      </c>
      <c r="G123" s="218">
        <f t="shared" si="6"/>
        <v>0</v>
      </c>
    </row>
    <row r="124" spans="1:7">
      <c r="A124" s="217">
        <f t="shared" si="7"/>
        <v>540</v>
      </c>
      <c r="B124" s="216">
        <f t="shared" si="8"/>
        <v>99.1</v>
      </c>
      <c r="C124" s="218">
        <f t="shared" si="9"/>
        <v>0</v>
      </c>
      <c r="D124" s="219">
        <f>INDEX('Step 4 Stage Discharge'!E$26:F$126,MATCH(C124,'Step 4 Stage Discharge'!E$26:E$126,1),2)+(INDEX('Step 4 Stage Discharge'!E$26:F$126,MATCH(C124,'Step 4 Stage Discharge'!E$26:E$126,1)+1,2)-INDEX('Step 4 Stage Discharge'!E$26:F$126,MATCH(C124,'Step 4 Stage Discharge'!E$26:E$126,1),2))*(C124-INDEX('Step 4 Stage Discharge'!E$26:F$126,MATCH(C124,'Step 4 Stage Discharge'!E$26:E$126,1),1))/(INDEX('Step 4 Stage Discharge'!E$26:F$126,MATCH(C124,'Step 4 Stage Discharge'!E$26:E$126,1)+1,1)-INDEX('Step 4 Stage Discharge'!E$26:F$126,MATCH(C124,'Step 4 Stage Discharge'!E$26:E$126,1),1))</f>
        <v>0</v>
      </c>
      <c r="E124" s="219">
        <f>INDEX('Step 4 Stage Discharge'!E$26:M$126,MATCH(C124,'Step 4 Stage Discharge'!E$26:E$126,1),9)+(INDEX('Step 4 Stage Discharge'!E$26:M$126,MATCH('Step 6 Quality Check'!C124,'Step 4 Stage Discharge'!E$26:E$126,1)+1,9)-INDEX('Step 4 Stage Discharge'!E$26:M$126,MATCH('Step 6 Quality Check'!C124,'Step 4 Stage Discharge'!E$26:E$126,1),9))*('Step 6 Quality Check'!C124-INDEX('Step 4 Stage Discharge'!E$26:M$126,MATCH('Step 6 Quality Check'!C124,'Step 4 Stage Discharge'!E$26:E$126,1),1))/(INDEX('Step 4 Stage Discharge'!E$26:M$126,MATCH('Step 6 Quality Check'!C124,'Step 4 Stage Discharge'!E$26:E$126,1)+1,1)-INDEX('Step 4 Stage Discharge'!E$26:M$126,MATCH('Step 6 Quality Check'!C124,'Step 4 Stage Discharge'!E$26:E$126,1),1))</f>
        <v>4.3639431710317386E-3</v>
      </c>
      <c r="F124" s="218">
        <f t="shared" si="5"/>
        <v>0</v>
      </c>
      <c r="G124" s="218">
        <f t="shared" si="6"/>
        <v>0</v>
      </c>
    </row>
    <row r="125" spans="1:7">
      <c r="A125" s="217">
        <f t="shared" si="7"/>
        <v>545</v>
      </c>
      <c r="B125" s="216">
        <f t="shared" si="8"/>
        <v>99.1</v>
      </c>
      <c r="C125" s="218">
        <f t="shared" si="9"/>
        <v>0</v>
      </c>
      <c r="D125" s="219">
        <f>INDEX('Step 4 Stage Discharge'!E$26:F$126,MATCH(C125,'Step 4 Stage Discharge'!E$26:E$126,1),2)+(INDEX('Step 4 Stage Discharge'!E$26:F$126,MATCH(C125,'Step 4 Stage Discharge'!E$26:E$126,1)+1,2)-INDEX('Step 4 Stage Discharge'!E$26:F$126,MATCH(C125,'Step 4 Stage Discharge'!E$26:E$126,1),2))*(C125-INDEX('Step 4 Stage Discharge'!E$26:F$126,MATCH(C125,'Step 4 Stage Discharge'!E$26:E$126,1),1))/(INDEX('Step 4 Stage Discharge'!E$26:F$126,MATCH(C125,'Step 4 Stage Discharge'!E$26:E$126,1)+1,1)-INDEX('Step 4 Stage Discharge'!E$26:F$126,MATCH(C125,'Step 4 Stage Discharge'!E$26:E$126,1),1))</f>
        <v>0</v>
      </c>
      <c r="E125" s="219">
        <f>INDEX('Step 4 Stage Discharge'!E$26:M$126,MATCH(C125,'Step 4 Stage Discharge'!E$26:E$126,1),9)+(INDEX('Step 4 Stage Discharge'!E$26:M$126,MATCH('Step 6 Quality Check'!C125,'Step 4 Stage Discharge'!E$26:E$126,1)+1,9)-INDEX('Step 4 Stage Discharge'!E$26:M$126,MATCH('Step 6 Quality Check'!C125,'Step 4 Stage Discharge'!E$26:E$126,1),9))*('Step 6 Quality Check'!C125-INDEX('Step 4 Stage Discharge'!E$26:M$126,MATCH('Step 6 Quality Check'!C125,'Step 4 Stage Discharge'!E$26:E$126,1),1))/(INDEX('Step 4 Stage Discharge'!E$26:M$126,MATCH('Step 6 Quality Check'!C125,'Step 4 Stage Discharge'!E$26:E$126,1)+1,1)-INDEX('Step 4 Stage Discharge'!E$26:M$126,MATCH('Step 6 Quality Check'!C125,'Step 4 Stage Discharge'!E$26:E$126,1),1))</f>
        <v>4.3639431710317386E-3</v>
      </c>
      <c r="F125" s="218">
        <f t="shared" si="5"/>
        <v>0</v>
      </c>
      <c r="G125" s="218">
        <f t="shared" si="6"/>
        <v>0</v>
      </c>
    </row>
    <row r="126" spans="1:7">
      <c r="A126" s="217">
        <f t="shared" si="7"/>
        <v>550</v>
      </c>
      <c r="B126" s="216">
        <f t="shared" si="8"/>
        <v>99.1</v>
      </c>
      <c r="C126" s="218">
        <f t="shared" si="9"/>
        <v>0</v>
      </c>
      <c r="D126" s="219">
        <f>INDEX('Step 4 Stage Discharge'!E$26:F$126,MATCH(C126,'Step 4 Stage Discharge'!E$26:E$126,1),2)+(INDEX('Step 4 Stage Discharge'!E$26:F$126,MATCH(C126,'Step 4 Stage Discharge'!E$26:E$126,1)+1,2)-INDEX('Step 4 Stage Discharge'!E$26:F$126,MATCH(C126,'Step 4 Stage Discharge'!E$26:E$126,1),2))*(C126-INDEX('Step 4 Stage Discharge'!E$26:F$126,MATCH(C126,'Step 4 Stage Discharge'!E$26:E$126,1),1))/(INDEX('Step 4 Stage Discharge'!E$26:F$126,MATCH(C126,'Step 4 Stage Discharge'!E$26:E$126,1)+1,1)-INDEX('Step 4 Stage Discharge'!E$26:F$126,MATCH(C126,'Step 4 Stage Discharge'!E$26:E$126,1),1))</f>
        <v>0</v>
      </c>
      <c r="E126" s="219">
        <f>INDEX('Step 4 Stage Discharge'!E$26:M$126,MATCH(C126,'Step 4 Stage Discharge'!E$26:E$126,1),9)+(INDEX('Step 4 Stage Discharge'!E$26:M$126,MATCH('Step 6 Quality Check'!C126,'Step 4 Stage Discharge'!E$26:E$126,1)+1,9)-INDEX('Step 4 Stage Discharge'!E$26:M$126,MATCH('Step 6 Quality Check'!C126,'Step 4 Stage Discharge'!E$26:E$126,1),9))*('Step 6 Quality Check'!C126-INDEX('Step 4 Stage Discharge'!E$26:M$126,MATCH('Step 6 Quality Check'!C126,'Step 4 Stage Discharge'!E$26:E$126,1),1))/(INDEX('Step 4 Stage Discharge'!E$26:M$126,MATCH('Step 6 Quality Check'!C126,'Step 4 Stage Discharge'!E$26:E$126,1)+1,1)-INDEX('Step 4 Stage Discharge'!E$26:M$126,MATCH('Step 6 Quality Check'!C126,'Step 4 Stage Discharge'!E$26:E$126,1),1))</f>
        <v>4.3639431710317386E-3</v>
      </c>
      <c r="F126" s="218">
        <f t="shared" si="5"/>
        <v>0</v>
      </c>
      <c r="G126" s="218">
        <f t="shared" si="6"/>
        <v>0</v>
      </c>
    </row>
    <row r="127" spans="1:7">
      <c r="A127" s="217">
        <f t="shared" si="7"/>
        <v>555</v>
      </c>
      <c r="B127" s="216">
        <f t="shared" si="8"/>
        <v>99.1</v>
      </c>
      <c r="C127" s="218">
        <f t="shared" si="9"/>
        <v>0</v>
      </c>
      <c r="D127" s="219">
        <f>INDEX('Step 4 Stage Discharge'!E$26:F$126,MATCH(C127,'Step 4 Stage Discharge'!E$26:E$126,1),2)+(INDEX('Step 4 Stage Discharge'!E$26:F$126,MATCH(C127,'Step 4 Stage Discharge'!E$26:E$126,1)+1,2)-INDEX('Step 4 Stage Discharge'!E$26:F$126,MATCH(C127,'Step 4 Stage Discharge'!E$26:E$126,1),2))*(C127-INDEX('Step 4 Stage Discharge'!E$26:F$126,MATCH(C127,'Step 4 Stage Discharge'!E$26:E$126,1),1))/(INDEX('Step 4 Stage Discharge'!E$26:F$126,MATCH(C127,'Step 4 Stage Discharge'!E$26:E$126,1)+1,1)-INDEX('Step 4 Stage Discharge'!E$26:F$126,MATCH(C127,'Step 4 Stage Discharge'!E$26:E$126,1),1))</f>
        <v>0</v>
      </c>
      <c r="E127" s="219">
        <f>INDEX('Step 4 Stage Discharge'!E$26:M$126,MATCH(C127,'Step 4 Stage Discharge'!E$26:E$126,1),9)+(INDEX('Step 4 Stage Discharge'!E$26:M$126,MATCH('Step 6 Quality Check'!C127,'Step 4 Stage Discharge'!E$26:E$126,1)+1,9)-INDEX('Step 4 Stage Discharge'!E$26:M$126,MATCH('Step 6 Quality Check'!C127,'Step 4 Stage Discharge'!E$26:E$126,1),9))*('Step 6 Quality Check'!C127-INDEX('Step 4 Stage Discharge'!E$26:M$126,MATCH('Step 6 Quality Check'!C127,'Step 4 Stage Discharge'!E$26:E$126,1),1))/(INDEX('Step 4 Stage Discharge'!E$26:M$126,MATCH('Step 6 Quality Check'!C127,'Step 4 Stage Discharge'!E$26:E$126,1)+1,1)-INDEX('Step 4 Stage Discharge'!E$26:M$126,MATCH('Step 6 Quality Check'!C127,'Step 4 Stage Discharge'!E$26:E$126,1),1))</f>
        <v>4.3639431710317386E-3</v>
      </c>
      <c r="F127" s="218">
        <f t="shared" si="5"/>
        <v>0</v>
      </c>
      <c r="G127" s="218">
        <f t="shared" si="6"/>
        <v>0</v>
      </c>
    </row>
    <row r="128" spans="1:7">
      <c r="A128" s="217">
        <f t="shared" si="7"/>
        <v>560</v>
      </c>
      <c r="B128" s="216">
        <f t="shared" si="8"/>
        <v>99.1</v>
      </c>
      <c r="C128" s="218">
        <f t="shared" si="9"/>
        <v>0</v>
      </c>
      <c r="D128" s="219">
        <f>INDEX('Step 4 Stage Discharge'!E$26:F$126,MATCH(C128,'Step 4 Stage Discharge'!E$26:E$126,1),2)+(INDEX('Step 4 Stage Discharge'!E$26:F$126,MATCH(C128,'Step 4 Stage Discharge'!E$26:E$126,1)+1,2)-INDEX('Step 4 Stage Discharge'!E$26:F$126,MATCH(C128,'Step 4 Stage Discharge'!E$26:E$126,1),2))*(C128-INDEX('Step 4 Stage Discharge'!E$26:F$126,MATCH(C128,'Step 4 Stage Discharge'!E$26:E$126,1),1))/(INDEX('Step 4 Stage Discharge'!E$26:F$126,MATCH(C128,'Step 4 Stage Discharge'!E$26:E$126,1)+1,1)-INDEX('Step 4 Stage Discharge'!E$26:F$126,MATCH(C128,'Step 4 Stage Discharge'!E$26:E$126,1),1))</f>
        <v>0</v>
      </c>
      <c r="E128" s="219">
        <f>INDEX('Step 4 Stage Discharge'!E$26:M$126,MATCH(C128,'Step 4 Stage Discharge'!E$26:E$126,1),9)+(INDEX('Step 4 Stage Discharge'!E$26:M$126,MATCH('Step 6 Quality Check'!C128,'Step 4 Stage Discharge'!E$26:E$126,1)+1,9)-INDEX('Step 4 Stage Discharge'!E$26:M$126,MATCH('Step 6 Quality Check'!C128,'Step 4 Stage Discharge'!E$26:E$126,1),9))*('Step 6 Quality Check'!C128-INDEX('Step 4 Stage Discharge'!E$26:M$126,MATCH('Step 6 Quality Check'!C128,'Step 4 Stage Discharge'!E$26:E$126,1),1))/(INDEX('Step 4 Stage Discharge'!E$26:M$126,MATCH('Step 6 Quality Check'!C128,'Step 4 Stage Discharge'!E$26:E$126,1)+1,1)-INDEX('Step 4 Stage Discharge'!E$26:M$126,MATCH('Step 6 Quality Check'!C128,'Step 4 Stage Discharge'!E$26:E$126,1),1))</f>
        <v>4.3639431710317386E-3</v>
      </c>
      <c r="F128" s="218">
        <f t="shared" si="5"/>
        <v>0</v>
      </c>
      <c r="G128" s="218">
        <f t="shared" si="6"/>
        <v>0</v>
      </c>
    </row>
    <row r="129" spans="1:7">
      <c r="A129" s="217">
        <f t="shared" si="7"/>
        <v>565</v>
      </c>
      <c r="B129" s="216">
        <f t="shared" si="8"/>
        <v>99.1</v>
      </c>
      <c r="C129" s="218">
        <f t="shared" si="9"/>
        <v>0</v>
      </c>
      <c r="D129" s="219">
        <f>INDEX('Step 4 Stage Discharge'!E$26:F$126,MATCH(C129,'Step 4 Stage Discharge'!E$26:E$126,1),2)+(INDEX('Step 4 Stage Discharge'!E$26:F$126,MATCH(C129,'Step 4 Stage Discharge'!E$26:E$126,1)+1,2)-INDEX('Step 4 Stage Discharge'!E$26:F$126,MATCH(C129,'Step 4 Stage Discharge'!E$26:E$126,1),2))*(C129-INDEX('Step 4 Stage Discharge'!E$26:F$126,MATCH(C129,'Step 4 Stage Discharge'!E$26:E$126,1),1))/(INDEX('Step 4 Stage Discharge'!E$26:F$126,MATCH(C129,'Step 4 Stage Discharge'!E$26:E$126,1)+1,1)-INDEX('Step 4 Stage Discharge'!E$26:F$126,MATCH(C129,'Step 4 Stage Discharge'!E$26:E$126,1),1))</f>
        <v>0</v>
      </c>
      <c r="E129" s="219">
        <f>INDEX('Step 4 Stage Discharge'!E$26:M$126,MATCH(C129,'Step 4 Stage Discharge'!E$26:E$126,1),9)+(INDEX('Step 4 Stage Discharge'!E$26:M$126,MATCH('Step 6 Quality Check'!C129,'Step 4 Stage Discharge'!E$26:E$126,1)+1,9)-INDEX('Step 4 Stage Discharge'!E$26:M$126,MATCH('Step 6 Quality Check'!C129,'Step 4 Stage Discharge'!E$26:E$126,1),9))*('Step 6 Quality Check'!C129-INDEX('Step 4 Stage Discharge'!E$26:M$126,MATCH('Step 6 Quality Check'!C129,'Step 4 Stage Discharge'!E$26:E$126,1),1))/(INDEX('Step 4 Stage Discharge'!E$26:M$126,MATCH('Step 6 Quality Check'!C129,'Step 4 Stage Discharge'!E$26:E$126,1)+1,1)-INDEX('Step 4 Stage Discharge'!E$26:M$126,MATCH('Step 6 Quality Check'!C129,'Step 4 Stage Discharge'!E$26:E$126,1),1))</f>
        <v>4.3639431710317386E-3</v>
      </c>
      <c r="F129" s="218">
        <f t="shared" si="5"/>
        <v>0</v>
      </c>
      <c r="G129" s="218">
        <f t="shared" si="6"/>
        <v>0</v>
      </c>
    </row>
    <row r="130" spans="1:7">
      <c r="A130" s="217">
        <f t="shared" si="7"/>
        <v>570</v>
      </c>
      <c r="B130" s="216">
        <f t="shared" si="8"/>
        <v>99.1</v>
      </c>
      <c r="C130" s="218">
        <f t="shared" si="9"/>
        <v>0</v>
      </c>
      <c r="D130" s="219">
        <f>INDEX('Step 4 Stage Discharge'!E$26:F$126,MATCH(C130,'Step 4 Stage Discharge'!E$26:E$126,1),2)+(INDEX('Step 4 Stage Discharge'!E$26:F$126,MATCH(C130,'Step 4 Stage Discharge'!E$26:E$126,1)+1,2)-INDEX('Step 4 Stage Discharge'!E$26:F$126,MATCH(C130,'Step 4 Stage Discharge'!E$26:E$126,1),2))*(C130-INDEX('Step 4 Stage Discharge'!E$26:F$126,MATCH(C130,'Step 4 Stage Discharge'!E$26:E$126,1),1))/(INDEX('Step 4 Stage Discharge'!E$26:F$126,MATCH(C130,'Step 4 Stage Discharge'!E$26:E$126,1)+1,1)-INDEX('Step 4 Stage Discharge'!E$26:F$126,MATCH(C130,'Step 4 Stage Discharge'!E$26:E$126,1),1))</f>
        <v>0</v>
      </c>
      <c r="E130" s="219">
        <f>INDEX('Step 4 Stage Discharge'!E$26:M$126,MATCH(C130,'Step 4 Stage Discharge'!E$26:E$126,1),9)+(INDEX('Step 4 Stage Discharge'!E$26:M$126,MATCH('Step 6 Quality Check'!C130,'Step 4 Stage Discharge'!E$26:E$126,1)+1,9)-INDEX('Step 4 Stage Discharge'!E$26:M$126,MATCH('Step 6 Quality Check'!C130,'Step 4 Stage Discharge'!E$26:E$126,1),9))*('Step 6 Quality Check'!C130-INDEX('Step 4 Stage Discharge'!E$26:M$126,MATCH('Step 6 Quality Check'!C130,'Step 4 Stage Discharge'!E$26:E$126,1),1))/(INDEX('Step 4 Stage Discharge'!E$26:M$126,MATCH('Step 6 Quality Check'!C130,'Step 4 Stage Discharge'!E$26:E$126,1)+1,1)-INDEX('Step 4 Stage Discharge'!E$26:M$126,MATCH('Step 6 Quality Check'!C130,'Step 4 Stage Discharge'!E$26:E$126,1),1))</f>
        <v>4.3639431710317386E-3</v>
      </c>
      <c r="F130" s="218">
        <f t="shared" si="5"/>
        <v>0</v>
      </c>
      <c r="G130" s="218">
        <f t="shared" si="6"/>
        <v>0</v>
      </c>
    </row>
    <row r="131" spans="1:7">
      <c r="A131" s="217">
        <f t="shared" si="7"/>
        <v>575</v>
      </c>
      <c r="B131" s="216">
        <f t="shared" si="8"/>
        <v>99.1</v>
      </c>
      <c r="C131" s="218">
        <f t="shared" si="9"/>
        <v>0</v>
      </c>
      <c r="D131" s="219">
        <f>INDEX('Step 4 Stage Discharge'!E$26:F$126,MATCH(C131,'Step 4 Stage Discharge'!E$26:E$126,1),2)+(INDEX('Step 4 Stage Discharge'!E$26:F$126,MATCH(C131,'Step 4 Stage Discharge'!E$26:E$126,1)+1,2)-INDEX('Step 4 Stage Discharge'!E$26:F$126,MATCH(C131,'Step 4 Stage Discharge'!E$26:E$126,1),2))*(C131-INDEX('Step 4 Stage Discharge'!E$26:F$126,MATCH(C131,'Step 4 Stage Discharge'!E$26:E$126,1),1))/(INDEX('Step 4 Stage Discharge'!E$26:F$126,MATCH(C131,'Step 4 Stage Discharge'!E$26:E$126,1)+1,1)-INDEX('Step 4 Stage Discharge'!E$26:F$126,MATCH(C131,'Step 4 Stage Discharge'!E$26:E$126,1),1))</f>
        <v>0</v>
      </c>
      <c r="E131" s="219">
        <f>INDEX('Step 4 Stage Discharge'!E$26:M$126,MATCH(C131,'Step 4 Stage Discharge'!E$26:E$126,1),9)+(INDEX('Step 4 Stage Discharge'!E$26:M$126,MATCH('Step 6 Quality Check'!C131,'Step 4 Stage Discharge'!E$26:E$126,1)+1,9)-INDEX('Step 4 Stage Discharge'!E$26:M$126,MATCH('Step 6 Quality Check'!C131,'Step 4 Stage Discharge'!E$26:E$126,1),9))*('Step 6 Quality Check'!C131-INDEX('Step 4 Stage Discharge'!E$26:M$126,MATCH('Step 6 Quality Check'!C131,'Step 4 Stage Discharge'!E$26:E$126,1),1))/(INDEX('Step 4 Stage Discharge'!E$26:M$126,MATCH('Step 6 Quality Check'!C131,'Step 4 Stage Discharge'!E$26:E$126,1)+1,1)-INDEX('Step 4 Stage Discharge'!E$26:M$126,MATCH('Step 6 Quality Check'!C131,'Step 4 Stage Discharge'!E$26:E$126,1),1))</f>
        <v>4.3639431710317386E-3</v>
      </c>
      <c r="F131" s="218">
        <f t="shared" si="5"/>
        <v>0</v>
      </c>
      <c r="G131" s="218">
        <f t="shared" si="6"/>
        <v>0</v>
      </c>
    </row>
    <row r="132" spans="1:7">
      <c r="A132" s="217">
        <f t="shared" si="7"/>
        <v>580</v>
      </c>
      <c r="B132" s="216">
        <f t="shared" si="8"/>
        <v>99.1</v>
      </c>
      <c r="C132" s="218">
        <f t="shared" si="9"/>
        <v>0</v>
      </c>
      <c r="D132" s="219">
        <f>INDEX('Step 4 Stage Discharge'!E$26:F$126,MATCH(C132,'Step 4 Stage Discharge'!E$26:E$126,1),2)+(INDEX('Step 4 Stage Discharge'!E$26:F$126,MATCH(C132,'Step 4 Stage Discharge'!E$26:E$126,1)+1,2)-INDEX('Step 4 Stage Discharge'!E$26:F$126,MATCH(C132,'Step 4 Stage Discharge'!E$26:E$126,1),2))*(C132-INDEX('Step 4 Stage Discharge'!E$26:F$126,MATCH(C132,'Step 4 Stage Discharge'!E$26:E$126,1),1))/(INDEX('Step 4 Stage Discharge'!E$26:F$126,MATCH(C132,'Step 4 Stage Discharge'!E$26:E$126,1)+1,1)-INDEX('Step 4 Stage Discharge'!E$26:F$126,MATCH(C132,'Step 4 Stage Discharge'!E$26:E$126,1),1))</f>
        <v>0</v>
      </c>
      <c r="E132" s="219">
        <f>INDEX('Step 4 Stage Discharge'!E$26:M$126,MATCH(C132,'Step 4 Stage Discharge'!E$26:E$126,1),9)+(INDEX('Step 4 Stage Discharge'!E$26:M$126,MATCH('Step 6 Quality Check'!C132,'Step 4 Stage Discharge'!E$26:E$126,1)+1,9)-INDEX('Step 4 Stage Discharge'!E$26:M$126,MATCH('Step 6 Quality Check'!C132,'Step 4 Stage Discharge'!E$26:E$126,1),9))*('Step 6 Quality Check'!C132-INDEX('Step 4 Stage Discharge'!E$26:M$126,MATCH('Step 6 Quality Check'!C132,'Step 4 Stage Discharge'!E$26:E$126,1),1))/(INDEX('Step 4 Stage Discharge'!E$26:M$126,MATCH('Step 6 Quality Check'!C132,'Step 4 Stage Discharge'!E$26:E$126,1)+1,1)-INDEX('Step 4 Stage Discharge'!E$26:M$126,MATCH('Step 6 Quality Check'!C132,'Step 4 Stage Discharge'!E$26:E$126,1),1))</f>
        <v>4.3639431710317386E-3</v>
      </c>
      <c r="F132" s="218">
        <f t="shared" si="5"/>
        <v>0</v>
      </c>
      <c r="G132" s="218">
        <f t="shared" si="6"/>
        <v>0</v>
      </c>
    </row>
    <row r="133" spans="1:7">
      <c r="A133" s="217">
        <f t="shared" si="7"/>
        <v>585</v>
      </c>
      <c r="B133" s="216">
        <f t="shared" si="8"/>
        <v>99.1</v>
      </c>
      <c r="C133" s="218">
        <f t="shared" si="9"/>
        <v>0</v>
      </c>
      <c r="D133" s="219">
        <f>INDEX('Step 4 Stage Discharge'!E$26:F$126,MATCH(C133,'Step 4 Stage Discharge'!E$26:E$126,1),2)+(INDEX('Step 4 Stage Discharge'!E$26:F$126,MATCH(C133,'Step 4 Stage Discharge'!E$26:E$126,1)+1,2)-INDEX('Step 4 Stage Discharge'!E$26:F$126,MATCH(C133,'Step 4 Stage Discharge'!E$26:E$126,1),2))*(C133-INDEX('Step 4 Stage Discharge'!E$26:F$126,MATCH(C133,'Step 4 Stage Discharge'!E$26:E$126,1),1))/(INDEX('Step 4 Stage Discharge'!E$26:F$126,MATCH(C133,'Step 4 Stage Discharge'!E$26:E$126,1)+1,1)-INDEX('Step 4 Stage Discharge'!E$26:F$126,MATCH(C133,'Step 4 Stage Discharge'!E$26:E$126,1),1))</f>
        <v>0</v>
      </c>
      <c r="E133" s="219">
        <f>INDEX('Step 4 Stage Discharge'!E$26:M$126,MATCH(C133,'Step 4 Stage Discharge'!E$26:E$126,1),9)+(INDEX('Step 4 Stage Discharge'!E$26:M$126,MATCH('Step 6 Quality Check'!C133,'Step 4 Stage Discharge'!E$26:E$126,1)+1,9)-INDEX('Step 4 Stage Discharge'!E$26:M$126,MATCH('Step 6 Quality Check'!C133,'Step 4 Stage Discharge'!E$26:E$126,1),9))*('Step 6 Quality Check'!C133-INDEX('Step 4 Stage Discharge'!E$26:M$126,MATCH('Step 6 Quality Check'!C133,'Step 4 Stage Discharge'!E$26:E$126,1),1))/(INDEX('Step 4 Stage Discharge'!E$26:M$126,MATCH('Step 6 Quality Check'!C133,'Step 4 Stage Discharge'!E$26:E$126,1)+1,1)-INDEX('Step 4 Stage Discharge'!E$26:M$126,MATCH('Step 6 Quality Check'!C133,'Step 4 Stage Discharge'!E$26:E$126,1),1))</f>
        <v>4.3639431710317386E-3</v>
      </c>
      <c r="F133" s="218">
        <f t="shared" si="5"/>
        <v>0</v>
      </c>
      <c r="G133" s="218">
        <f t="shared" si="6"/>
        <v>0</v>
      </c>
    </row>
    <row r="134" spans="1:7">
      <c r="A134" s="217">
        <f t="shared" si="7"/>
        <v>590</v>
      </c>
      <c r="B134" s="216">
        <f t="shared" si="8"/>
        <v>99.1</v>
      </c>
      <c r="C134" s="218">
        <f t="shared" si="9"/>
        <v>0</v>
      </c>
      <c r="D134" s="219">
        <f>INDEX('Step 4 Stage Discharge'!E$26:F$126,MATCH(C134,'Step 4 Stage Discharge'!E$26:E$126,1),2)+(INDEX('Step 4 Stage Discharge'!E$26:F$126,MATCH(C134,'Step 4 Stage Discharge'!E$26:E$126,1)+1,2)-INDEX('Step 4 Stage Discharge'!E$26:F$126,MATCH(C134,'Step 4 Stage Discharge'!E$26:E$126,1),2))*(C134-INDEX('Step 4 Stage Discharge'!E$26:F$126,MATCH(C134,'Step 4 Stage Discharge'!E$26:E$126,1),1))/(INDEX('Step 4 Stage Discharge'!E$26:F$126,MATCH(C134,'Step 4 Stage Discharge'!E$26:E$126,1)+1,1)-INDEX('Step 4 Stage Discharge'!E$26:F$126,MATCH(C134,'Step 4 Stage Discharge'!E$26:E$126,1),1))</f>
        <v>0</v>
      </c>
      <c r="E134" s="219">
        <f>INDEX('Step 4 Stage Discharge'!E$26:M$126,MATCH(C134,'Step 4 Stage Discharge'!E$26:E$126,1),9)+(INDEX('Step 4 Stage Discharge'!E$26:M$126,MATCH('Step 6 Quality Check'!C134,'Step 4 Stage Discharge'!E$26:E$126,1)+1,9)-INDEX('Step 4 Stage Discharge'!E$26:M$126,MATCH('Step 6 Quality Check'!C134,'Step 4 Stage Discharge'!E$26:E$126,1),9))*('Step 6 Quality Check'!C134-INDEX('Step 4 Stage Discharge'!E$26:M$126,MATCH('Step 6 Quality Check'!C134,'Step 4 Stage Discharge'!E$26:E$126,1),1))/(INDEX('Step 4 Stage Discharge'!E$26:M$126,MATCH('Step 6 Quality Check'!C134,'Step 4 Stage Discharge'!E$26:E$126,1)+1,1)-INDEX('Step 4 Stage Discharge'!E$26:M$126,MATCH('Step 6 Quality Check'!C134,'Step 4 Stage Discharge'!E$26:E$126,1),1))</f>
        <v>4.3639431710317386E-3</v>
      </c>
      <c r="F134" s="218">
        <f t="shared" si="5"/>
        <v>0</v>
      </c>
      <c r="G134" s="218">
        <f t="shared" si="6"/>
        <v>0</v>
      </c>
    </row>
    <row r="135" spans="1:7">
      <c r="A135" s="217">
        <f t="shared" si="7"/>
        <v>595</v>
      </c>
      <c r="B135" s="216">
        <f t="shared" si="8"/>
        <v>99.1</v>
      </c>
      <c r="C135" s="218">
        <f t="shared" si="9"/>
        <v>0</v>
      </c>
      <c r="D135" s="219">
        <f>INDEX('Step 4 Stage Discharge'!E$26:F$126,MATCH(C135,'Step 4 Stage Discharge'!E$26:E$126,1),2)+(INDEX('Step 4 Stage Discharge'!E$26:F$126,MATCH(C135,'Step 4 Stage Discharge'!E$26:E$126,1)+1,2)-INDEX('Step 4 Stage Discharge'!E$26:F$126,MATCH(C135,'Step 4 Stage Discharge'!E$26:E$126,1),2))*(C135-INDEX('Step 4 Stage Discharge'!E$26:F$126,MATCH(C135,'Step 4 Stage Discharge'!E$26:E$126,1),1))/(INDEX('Step 4 Stage Discharge'!E$26:F$126,MATCH(C135,'Step 4 Stage Discharge'!E$26:E$126,1)+1,1)-INDEX('Step 4 Stage Discharge'!E$26:F$126,MATCH(C135,'Step 4 Stage Discharge'!E$26:E$126,1),1))</f>
        <v>0</v>
      </c>
      <c r="E135" s="219">
        <f>INDEX('Step 4 Stage Discharge'!E$26:M$126,MATCH(C135,'Step 4 Stage Discharge'!E$26:E$126,1),9)+(INDEX('Step 4 Stage Discharge'!E$26:M$126,MATCH('Step 6 Quality Check'!C135,'Step 4 Stage Discharge'!E$26:E$126,1)+1,9)-INDEX('Step 4 Stage Discharge'!E$26:M$126,MATCH('Step 6 Quality Check'!C135,'Step 4 Stage Discharge'!E$26:E$126,1),9))*('Step 6 Quality Check'!C135-INDEX('Step 4 Stage Discharge'!E$26:M$126,MATCH('Step 6 Quality Check'!C135,'Step 4 Stage Discharge'!E$26:E$126,1),1))/(INDEX('Step 4 Stage Discharge'!E$26:M$126,MATCH('Step 6 Quality Check'!C135,'Step 4 Stage Discharge'!E$26:E$126,1)+1,1)-INDEX('Step 4 Stage Discharge'!E$26:M$126,MATCH('Step 6 Quality Check'!C135,'Step 4 Stage Discharge'!E$26:E$126,1),1))</f>
        <v>4.3639431710317386E-3</v>
      </c>
      <c r="F135" s="218">
        <f t="shared" si="5"/>
        <v>0</v>
      </c>
      <c r="G135" s="218">
        <f t="shared" si="6"/>
        <v>0</v>
      </c>
    </row>
    <row r="136" spans="1:7">
      <c r="A136" s="217">
        <f t="shared" si="7"/>
        <v>600</v>
      </c>
      <c r="B136" s="216">
        <f t="shared" si="8"/>
        <v>99.1</v>
      </c>
      <c r="C136" s="218">
        <f t="shared" si="9"/>
        <v>0</v>
      </c>
      <c r="D136" s="219">
        <f>INDEX('Step 4 Stage Discharge'!E$26:F$126,MATCH(C136,'Step 4 Stage Discharge'!E$26:E$126,1),2)+(INDEX('Step 4 Stage Discharge'!E$26:F$126,MATCH(C136,'Step 4 Stage Discharge'!E$26:E$126,1)+1,2)-INDEX('Step 4 Stage Discharge'!E$26:F$126,MATCH(C136,'Step 4 Stage Discharge'!E$26:E$126,1),2))*(C136-INDEX('Step 4 Stage Discharge'!E$26:F$126,MATCH(C136,'Step 4 Stage Discharge'!E$26:E$126,1),1))/(INDEX('Step 4 Stage Discharge'!E$26:F$126,MATCH(C136,'Step 4 Stage Discharge'!E$26:E$126,1)+1,1)-INDEX('Step 4 Stage Discharge'!E$26:F$126,MATCH(C136,'Step 4 Stage Discharge'!E$26:E$126,1),1))</f>
        <v>0</v>
      </c>
      <c r="E136" s="219">
        <f>INDEX('Step 4 Stage Discharge'!E$26:M$126,MATCH(C136,'Step 4 Stage Discharge'!E$26:E$126,1),9)+(INDEX('Step 4 Stage Discharge'!E$26:M$126,MATCH('Step 6 Quality Check'!C136,'Step 4 Stage Discharge'!E$26:E$126,1)+1,9)-INDEX('Step 4 Stage Discharge'!E$26:M$126,MATCH('Step 6 Quality Check'!C136,'Step 4 Stage Discharge'!E$26:E$126,1),9))*('Step 6 Quality Check'!C136-INDEX('Step 4 Stage Discharge'!E$26:M$126,MATCH('Step 6 Quality Check'!C136,'Step 4 Stage Discharge'!E$26:E$126,1),1))/(INDEX('Step 4 Stage Discharge'!E$26:M$126,MATCH('Step 6 Quality Check'!C136,'Step 4 Stage Discharge'!E$26:E$126,1)+1,1)-INDEX('Step 4 Stage Discharge'!E$26:M$126,MATCH('Step 6 Quality Check'!C136,'Step 4 Stage Discharge'!E$26:E$126,1),1))</f>
        <v>4.3639431710317386E-3</v>
      </c>
      <c r="F136" s="218">
        <f t="shared" si="5"/>
        <v>0</v>
      </c>
      <c r="G136" s="218">
        <f t="shared" si="6"/>
        <v>0</v>
      </c>
    </row>
    <row r="137" spans="1:7">
      <c r="A137" s="217">
        <f t="shared" si="7"/>
        <v>605</v>
      </c>
      <c r="B137" s="216">
        <f t="shared" si="8"/>
        <v>99.1</v>
      </c>
      <c r="C137" s="218">
        <f t="shared" si="9"/>
        <v>0</v>
      </c>
      <c r="D137" s="219">
        <f>INDEX('Step 4 Stage Discharge'!E$26:F$126,MATCH(C137,'Step 4 Stage Discharge'!E$26:E$126,1),2)+(INDEX('Step 4 Stage Discharge'!E$26:F$126,MATCH(C137,'Step 4 Stage Discharge'!E$26:E$126,1)+1,2)-INDEX('Step 4 Stage Discharge'!E$26:F$126,MATCH(C137,'Step 4 Stage Discharge'!E$26:E$126,1),2))*(C137-INDEX('Step 4 Stage Discharge'!E$26:F$126,MATCH(C137,'Step 4 Stage Discharge'!E$26:E$126,1),1))/(INDEX('Step 4 Stage Discharge'!E$26:F$126,MATCH(C137,'Step 4 Stage Discharge'!E$26:E$126,1)+1,1)-INDEX('Step 4 Stage Discharge'!E$26:F$126,MATCH(C137,'Step 4 Stage Discharge'!E$26:E$126,1),1))</f>
        <v>0</v>
      </c>
      <c r="E137" s="219">
        <f>INDEX('Step 4 Stage Discharge'!E$26:M$126,MATCH(C137,'Step 4 Stage Discharge'!E$26:E$126,1),9)+(INDEX('Step 4 Stage Discharge'!E$26:M$126,MATCH('Step 6 Quality Check'!C137,'Step 4 Stage Discharge'!E$26:E$126,1)+1,9)-INDEX('Step 4 Stage Discharge'!E$26:M$126,MATCH('Step 6 Quality Check'!C137,'Step 4 Stage Discharge'!E$26:E$126,1),9))*('Step 6 Quality Check'!C137-INDEX('Step 4 Stage Discharge'!E$26:M$126,MATCH('Step 6 Quality Check'!C137,'Step 4 Stage Discharge'!E$26:E$126,1),1))/(INDEX('Step 4 Stage Discharge'!E$26:M$126,MATCH('Step 6 Quality Check'!C137,'Step 4 Stage Discharge'!E$26:E$126,1)+1,1)-INDEX('Step 4 Stage Discharge'!E$26:M$126,MATCH('Step 6 Quality Check'!C137,'Step 4 Stage Discharge'!E$26:E$126,1),1))</f>
        <v>4.3639431710317386E-3</v>
      </c>
      <c r="F137" s="218">
        <f t="shared" si="5"/>
        <v>0</v>
      </c>
      <c r="G137" s="218">
        <f t="shared" si="6"/>
        <v>0</v>
      </c>
    </row>
    <row r="138" spans="1:7">
      <c r="A138" s="217">
        <f t="shared" si="7"/>
        <v>610</v>
      </c>
      <c r="B138" s="216">
        <f t="shared" si="8"/>
        <v>99.1</v>
      </c>
      <c r="C138" s="218">
        <f t="shared" si="9"/>
        <v>0</v>
      </c>
      <c r="D138" s="219">
        <f>INDEX('Step 4 Stage Discharge'!E$26:F$126,MATCH(C138,'Step 4 Stage Discharge'!E$26:E$126,1),2)+(INDEX('Step 4 Stage Discharge'!E$26:F$126,MATCH(C138,'Step 4 Stage Discharge'!E$26:E$126,1)+1,2)-INDEX('Step 4 Stage Discharge'!E$26:F$126,MATCH(C138,'Step 4 Stage Discharge'!E$26:E$126,1),2))*(C138-INDEX('Step 4 Stage Discharge'!E$26:F$126,MATCH(C138,'Step 4 Stage Discharge'!E$26:E$126,1),1))/(INDEX('Step 4 Stage Discharge'!E$26:F$126,MATCH(C138,'Step 4 Stage Discharge'!E$26:E$126,1)+1,1)-INDEX('Step 4 Stage Discharge'!E$26:F$126,MATCH(C138,'Step 4 Stage Discharge'!E$26:E$126,1),1))</f>
        <v>0</v>
      </c>
      <c r="E138" s="219">
        <f>INDEX('Step 4 Stage Discharge'!E$26:M$126,MATCH(C138,'Step 4 Stage Discharge'!E$26:E$126,1),9)+(INDEX('Step 4 Stage Discharge'!E$26:M$126,MATCH('Step 6 Quality Check'!C138,'Step 4 Stage Discharge'!E$26:E$126,1)+1,9)-INDEX('Step 4 Stage Discharge'!E$26:M$126,MATCH('Step 6 Quality Check'!C138,'Step 4 Stage Discharge'!E$26:E$126,1),9))*('Step 6 Quality Check'!C138-INDEX('Step 4 Stage Discharge'!E$26:M$126,MATCH('Step 6 Quality Check'!C138,'Step 4 Stage Discharge'!E$26:E$126,1),1))/(INDEX('Step 4 Stage Discharge'!E$26:M$126,MATCH('Step 6 Quality Check'!C138,'Step 4 Stage Discharge'!E$26:E$126,1)+1,1)-INDEX('Step 4 Stage Discharge'!E$26:M$126,MATCH('Step 6 Quality Check'!C138,'Step 4 Stage Discharge'!E$26:E$126,1),1))</f>
        <v>4.3639431710317386E-3</v>
      </c>
      <c r="F138" s="218">
        <f t="shared" si="5"/>
        <v>0</v>
      </c>
      <c r="G138" s="218">
        <f t="shared" si="6"/>
        <v>0</v>
      </c>
    </row>
    <row r="139" spans="1:7">
      <c r="A139" s="217">
        <f t="shared" si="7"/>
        <v>615</v>
      </c>
      <c r="B139" s="216">
        <f t="shared" si="8"/>
        <v>99.1</v>
      </c>
      <c r="C139" s="218">
        <f t="shared" si="9"/>
        <v>0</v>
      </c>
      <c r="D139" s="219">
        <f>INDEX('Step 4 Stage Discharge'!E$26:F$126,MATCH(C139,'Step 4 Stage Discharge'!E$26:E$126,1),2)+(INDEX('Step 4 Stage Discharge'!E$26:F$126,MATCH(C139,'Step 4 Stage Discharge'!E$26:E$126,1)+1,2)-INDEX('Step 4 Stage Discharge'!E$26:F$126,MATCH(C139,'Step 4 Stage Discharge'!E$26:E$126,1),2))*(C139-INDEX('Step 4 Stage Discharge'!E$26:F$126,MATCH(C139,'Step 4 Stage Discharge'!E$26:E$126,1),1))/(INDEX('Step 4 Stage Discharge'!E$26:F$126,MATCH(C139,'Step 4 Stage Discharge'!E$26:E$126,1)+1,1)-INDEX('Step 4 Stage Discharge'!E$26:F$126,MATCH(C139,'Step 4 Stage Discharge'!E$26:E$126,1),1))</f>
        <v>0</v>
      </c>
      <c r="E139" s="219">
        <f>INDEX('Step 4 Stage Discharge'!E$26:M$126,MATCH(C139,'Step 4 Stage Discharge'!E$26:E$126,1),9)+(INDEX('Step 4 Stage Discharge'!E$26:M$126,MATCH('Step 6 Quality Check'!C139,'Step 4 Stage Discharge'!E$26:E$126,1)+1,9)-INDEX('Step 4 Stage Discharge'!E$26:M$126,MATCH('Step 6 Quality Check'!C139,'Step 4 Stage Discharge'!E$26:E$126,1),9))*('Step 6 Quality Check'!C139-INDEX('Step 4 Stage Discharge'!E$26:M$126,MATCH('Step 6 Quality Check'!C139,'Step 4 Stage Discharge'!E$26:E$126,1),1))/(INDEX('Step 4 Stage Discharge'!E$26:M$126,MATCH('Step 6 Quality Check'!C139,'Step 4 Stage Discharge'!E$26:E$126,1)+1,1)-INDEX('Step 4 Stage Discharge'!E$26:M$126,MATCH('Step 6 Quality Check'!C139,'Step 4 Stage Discharge'!E$26:E$126,1),1))</f>
        <v>4.3639431710317386E-3</v>
      </c>
      <c r="F139" s="218">
        <f t="shared" si="5"/>
        <v>0</v>
      </c>
      <c r="G139" s="218">
        <f t="shared" si="6"/>
        <v>0</v>
      </c>
    </row>
    <row r="140" spans="1:7">
      <c r="A140" s="217">
        <f t="shared" si="7"/>
        <v>620</v>
      </c>
      <c r="B140" s="216">
        <f t="shared" si="8"/>
        <v>99.1</v>
      </c>
      <c r="C140" s="218">
        <f t="shared" si="9"/>
        <v>0</v>
      </c>
      <c r="D140" s="219">
        <f>INDEX('Step 4 Stage Discharge'!E$26:F$126,MATCH(C140,'Step 4 Stage Discharge'!E$26:E$126,1),2)+(INDEX('Step 4 Stage Discharge'!E$26:F$126,MATCH(C140,'Step 4 Stage Discharge'!E$26:E$126,1)+1,2)-INDEX('Step 4 Stage Discharge'!E$26:F$126,MATCH(C140,'Step 4 Stage Discharge'!E$26:E$126,1),2))*(C140-INDEX('Step 4 Stage Discharge'!E$26:F$126,MATCH(C140,'Step 4 Stage Discharge'!E$26:E$126,1),1))/(INDEX('Step 4 Stage Discharge'!E$26:F$126,MATCH(C140,'Step 4 Stage Discharge'!E$26:E$126,1)+1,1)-INDEX('Step 4 Stage Discharge'!E$26:F$126,MATCH(C140,'Step 4 Stage Discharge'!E$26:E$126,1),1))</f>
        <v>0</v>
      </c>
      <c r="E140" s="219">
        <f>INDEX('Step 4 Stage Discharge'!E$26:M$126,MATCH(C140,'Step 4 Stage Discharge'!E$26:E$126,1),9)+(INDEX('Step 4 Stage Discharge'!E$26:M$126,MATCH('Step 6 Quality Check'!C140,'Step 4 Stage Discharge'!E$26:E$126,1)+1,9)-INDEX('Step 4 Stage Discharge'!E$26:M$126,MATCH('Step 6 Quality Check'!C140,'Step 4 Stage Discharge'!E$26:E$126,1),9))*('Step 6 Quality Check'!C140-INDEX('Step 4 Stage Discharge'!E$26:M$126,MATCH('Step 6 Quality Check'!C140,'Step 4 Stage Discharge'!E$26:E$126,1),1))/(INDEX('Step 4 Stage Discharge'!E$26:M$126,MATCH('Step 6 Quality Check'!C140,'Step 4 Stage Discharge'!E$26:E$126,1)+1,1)-INDEX('Step 4 Stage Discharge'!E$26:M$126,MATCH('Step 6 Quality Check'!C140,'Step 4 Stage Discharge'!E$26:E$126,1),1))</f>
        <v>4.3639431710317386E-3</v>
      </c>
      <c r="F140" s="218">
        <f t="shared" si="5"/>
        <v>0</v>
      </c>
      <c r="G140" s="218">
        <f t="shared" si="6"/>
        <v>0</v>
      </c>
    </row>
    <row r="141" spans="1:7">
      <c r="A141" s="217">
        <f t="shared" si="7"/>
        <v>625</v>
      </c>
      <c r="B141" s="216">
        <f t="shared" si="8"/>
        <v>99.1</v>
      </c>
      <c r="C141" s="218">
        <f t="shared" si="9"/>
        <v>0</v>
      </c>
      <c r="D141" s="219">
        <f>INDEX('Step 4 Stage Discharge'!E$26:F$126,MATCH(C141,'Step 4 Stage Discharge'!E$26:E$126,1),2)+(INDEX('Step 4 Stage Discharge'!E$26:F$126,MATCH(C141,'Step 4 Stage Discharge'!E$26:E$126,1)+1,2)-INDEX('Step 4 Stage Discharge'!E$26:F$126,MATCH(C141,'Step 4 Stage Discharge'!E$26:E$126,1),2))*(C141-INDEX('Step 4 Stage Discharge'!E$26:F$126,MATCH(C141,'Step 4 Stage Discharge'!E$26:E$126,1),1))/(INDEX('Step 4 Stage Discharge'!E$26:F$126,MATCH(C141,'Step 4 Stage Discharge'!E$26:E$126,1)+1,1)-INDEX('Step 4 Stage Discharge'!E$26:F$126,MATCH(C141,'Step 4 Stage Discharge'!E$26:E$126,1),1))</f>
        <v>0</v>
      </c>
      <c r="E141" s="219">
        <f>INDEX('Step 4 Stage Discharge'!E$26:M$126,MATCH(C141,'Step 4 Stage Discharge'!E$26:E$126,1),9)+(INDEX('Step 4 Stage Discharge'!E$26:M$126,MATCH('Step 6 Quality Check'!C141,'Step 4 Stage Discharge'!E$26:E$126,1)+1,9)-INDEX('Step 4 Stage Discharge'!E$26:M$126,MATCH('Step 6 Quality Check'!C141,'Step 4 Stage Discharge'!E$26:E$126,1),9))*('Step 6 Quality Check'!C141-INDEX('Step 4 Stage Discharge'!E$26:M$126,MATCH('Step 6 Quality Check'!C141,'Step 4 Stage Discharge'!E$26:E$126,1),1))/(INDEX('Step 4 Stage Discharge'!E$26:M$126,MATCH('Step 6 Quality Check'!C141,'Step 4 Stage Discharge'!E$26:E$126,1)+1,1)-INDEX('Step 4 Stage Discharge'!E$26:M$126,MATCH('Step 6 Quality Check'!C141,'Step 4 Stage Discharge'!E$26:E$126,1),1))</f>
        <v>4.3639431710317386E-3</v>
      </c>
      <c r="F141" s="218">
        <f t="shared" si="5"/>
        <v>0</v>
      </c>
      <c r="G141" s="218">
        <f t="shared" si="6"/>
        <v>0</v>
      </c>
    </row>
    <row r="142" spans="1:7">
      <c r="A142" s="217">
        <f t="shared" si="7"/>
        <v>630</v>
      </c>
      <c r="B142" s="216">
        <f t="shared" si="8"/>
        <v>99.1</v>
      </c>
      <c r="C142" s="218">
        <f t="shared" si="9"/>
        <v>0</v>
      </c>
      <c r="D142" s="219">
        <f>INDEX('Step 4 Stage Discharge'!E$26:F$126,MATCH(C142,'Step 4 Stage Discharge'!E$26:E$126,1),2)+(INDEX('Step 4 Stage Discharge'!E$26:F$126,MATCH(C142,'Step 4 Stage Discharge'!E$26:E$126,1)+1,2)-INDEX('Step 4 Stage Discharge'!E$26:F$126,MATCH(C142,'Step 4 Stage Discharge'!E$26:E$126,1),2))*(C142-INDEX('Step 4 Stage Discharge'!E$26:F$126,MATCH(C142,'Step 4 Stage Discharge'!E$26:E$126,1),1))/(INDEX('Step 4 Stage Discharge'!E$26:F$126,MATCH(C142,'Step 4 Stage Discharge'!E$26:E$126,1)+1,1)-INDEX('Step 4 Stage Discharge'!E$26:F$126,MATCH(C142,'Step 4 Stage Discharge'!E$26:E$126,1),1))</f>
        <v>0</v>
      </c>
      <c r="E142" s="219">
        <f>INDEX('Step 4 Stage Discharge'!E$26:M$126,MATCH(C142,'Step 4 Stage Discharge'!E$26:E$126,1),9)+(INDEX('Step 4 Stage Discharge'!E$26:M$126,MATCH('Step 6 Quality Check'!C142,'Step 4 Stage Discharge'!E$26:E$126,1)+1,9)-INDEX('Step 4 Stage Discharge'!E$26:M$126,MATCH('Step 6 Quality Check'!C142,'Step 4 Stage Discharge'!E$26:E$126,1),9))*('Step 6 Quality Check'!C142-INDEX('Step 4 Stage Discharge'!E$26:M$126,MATCH('Step 6 Quality Check'!C142,'Step 4 Stage Discharge'!E$26:E$126,1),1))/(INDEX('Step 4 Stage Discharge'!E$26:M$126,MATCH('Step 6 Quality Check'!C142,'Step 4 Stage Discharge'!E$26:E$126,1)+1,1)-INDEX('Step 4 Stage Discharge'!E$26:M$126,MATCH('Step 6 Quality Check'!C142,'Step 4 Stage Discharge'!E$26:E$126,1),1))</f>
        <v>4.3639431710317386E-3</v>
      </c>
      <c r="F142" s="218">
        <f t="shared" si="5"/>
        <v>0</v>
      </c>
      <c r="G142" s="218">
        <f t="shared" si="6"/>
        <v>0</v>
      </c>
    </row>
    <row r="143" spans="1:7">
      <c r="A143" s="217">
        <f t="shared" si="7"/>
        <v>635</v>
      </c>
      <c r="B143" s="216">
        <f t="shared" si="8"/>
        <v>99.1</v>
      </c>
      <c r="C143" s="218">
        <f t="shared" si="9"/>
        <v>0</v>
      </c>
      <c r="D143" s="219">
        <f>INDEX('Step 4 Stage Discharge'!E$26:F$126,MATCH(C143,'Step 4 Stage Discharge'!E$26:E$126,1),2)+(INDEX('Step 4 Stage Discharge'!E$26:F$126,MATCH(C143,'Step 4 Stage Discharge'!E$26:E$126,1)+1,2)-INDEX('Step 4 Stage Discharge'!E$26:F$126,MATCH(C143,'Step 4 Stage Discharge'!E$26:E$126,1),2))*(C143-INDEX('Step 4 Stage Discharge'!E$26:F$126,MATCH(C143,'Step 4 Stage Discharge'!E$26:E$126,1),1))/(INDEX('Step 4 Stage Discharge'!E$26:F$126,MATCH(C143,'Step 4 Stage Discharge'!E$26:E$126,1)+1,1)-INDEX('Step 4 Stage Discharge'!E$26:F$126,MATCH(C143,'Step 4 Stage Discharge'!E$26:E$126,1),1))</f>
        <v>0</v>
      </c>
      <c r="E143" s="219">
        <f>INDEX('Step 4 Stage Discharge'!E$26:M$126,MATCH(C143,'Step 4 Stage Discharge'!E$26:E$126,1),9)+(INDEX('Step 4 Stage Discharge'!E$26:M$126,MATCH('Step 6 Quality Check'!C143,'Step 4 Stage Discharge'!E$26:E$126,1)+1,9)-INDEX('Step 4 Stage Discharge'!E$26:M$126,MATCH('Step 6 Quality Check'!C143,'Step 4 Stage Discharge'!E$26:E$126,1),9))*('Step 6 Quality Check'!C143-INDEX('Step 4 Stage Discharge'!E$26:M$126,MATCH('Step 6 Quality Check'!C143,'Step 4 Stage Discharge'!E$26:E$126,1),1))/(INDEX('Step 4 Stage Discharge'!E$26:M$126,MATCH('Step 6 Quality Check'!C143,'Step 4 Stage Discharge'!E$26:E$126,1)+1,1)-INDEX('Step 4 Stage Discharge'!E$26:M$126,MATCH('Step 6 Quality Check'!C143,'Step 4 Stage Discharge'!E$26:E$126,1),1))</f>
        <v>4.3639431710317386E-3</v>
      </c>
      <c r="F143" s="218">
        <f t="shared" si="5"/>
        <v>0</v>
      </c>
      <c r="G143" s="218">
        <f t="shared" si="6"/>
        <v>0</v>
      </c>
    </row>
    <row r="144" spans="1:7">
      <c r="A144" s="217">
        <f t="shared" si="7"/>
        <v>640</v>
      </c>
      <c r="B144" s="216">
        <f t="shared" si="8"/>
        <v>99.1</v>
      </c>
      <c r="C144" s="218">
        <f t="shared" si="9"/>
        <v>0</v>
      </c>
      <c r="D144" s="219">
        <f>INDEX('Step 4 Stage Discharge'!E$26:F$126,MATCH(C144,'Step 4 Stage Discharge'!E$26:E$126,1),2)+(INDEX('Step 4 Stage Discharge'!E$26:F$126,MATCH(C144,'Step 4 Stage Discharge'!E$26:E$126,1)+1,2)-INDEX('Step 4 Stage Discharge'!E$26:F$126,MATCH(C144,'Step 4 Stage Discharge'!E$26:E$126,1),2))*(C144-INDEX('Step 4 Stage Discharge'!E$26:F$126,MATCH(C144,'Step 4 Stage Discharge'!E$26:E$126,1),1))/(INDEX('Step 4 Stage Discharge'!E$26:F$126,MATCH(C144,'Step 4 Stage Discharge'!E$26:E$126,1)+1,1)-INDEX('Step 4 Stage Discharge'!E$26:F$126,MATCH(C144,'Step 4 Stage Discharge'!E$26:E$126,1),1))</f>
        <v>0</v>
      </c>
      <c r="E144" s="219">
        <f>INDEX('Step 4 Stage Discharge'!E$26:M$126,MATCH(C144,'Step 4 Stage Discharge'!E$26:E$126,1),9)+(INDEX('Step 4 Stage Discharge'!E$26:M$126,MATCH('Step 6 Quality Check'!C144,'Step 4 Stage Discharge'!E$26:E$126,1)+1,9)-INDEX('Step 4 Stage Discharge'!E$26:M$126,MATCH('Step 6 Quality Check'!C144,'Step 4 Stage Discharge'!E$26:E$126,1),9))*('Step 6 Quality Check'!C144-INDEX('Step 4 Stage Discharge'!E$26:M$126,MATCH('Step 6 Quality Check'!C144,'Step 4 Stage Discharge'!E$26:E$126,1),1))/(INDEX('Step 4 Stage Discharge'!E$26:M$126,MATCH('Step 6 Quality Check'!C144,'Step 4 Stage Discharge'!E$26:E$126,1)+1,1)-INDEX('Step 4 Stage Discharge'!E$26:M$126,MATCH('Step 6 Quality Check'!C144,'Step 4 Stage Discharge'!E$26:E$126,1),1))</f>
        <v>4.3639431710317386E-3</v>
      </c>
      <c r="F144" s="218">
        <f t="shared" ref="F144:F207" si="10">IF(E144*60*C$9&gt;C144,C144,E144*60*C$9)</f>
        <v>0</v>
      </c>
      <c r="G144" s="218">
        <f t="shared" ref="G144:G207" si="11">IF(C144-F144&lt;0,0,C144-F144)</f>
        <v>0</v>
      </c>
    </row>
    <row r="145" spans="1:7">
      <c r="A145" s="217">
        <f t="shared" ref="A145:A208" si="12">+A144+C$9</f>
        <v>645</v>
      </c>
      <c r="B145" s="216">
        <f t="shared" si="8"/>
        <v>99.1</v>
      </c>
      <c r="C145" s="218">
        <f t="shared" si="9"/>
        <v>0</v>
      </c>
      <c r="D145" s="219">
        <f>INDEX('Step 4 Stage Discharge'!E$26:F$126,MATCH(C145,'Step 4 Stage Discharge'!E$26:E$126,1),2)+(INDEX('Step 4 Stage Discharge'!E$26:F$126,MATCH(C145,'Step 4 Stage Discharge'!E$26:E$126,1)+1,2)-INDEX('Step 4 Stage Discharge'!E$26:F$126,MATCH(C145,'Step 4 Stage Discharge'!E$26:E$126,1),2))*(C145-INDEX('Step 4 Stage Discharge'!E$26:F$126,MATCH(C145,'Step 4 Stage Discharge'!E$26:E$126,1),1))/(INDEX('Step 4 Stage Discharge'!E$26:F$126,MATCH(C145,'Step 4 Stage Discharge'!E$26:E$126,1)+1,1)-INDEX('Step 4 Stage Discharge'!E$26:F$126,MATCH(C145,'Step 4 Stage Discharge'!E$26:E$126,1),1))</f>
        <v>0</v>
      </c>
      <c r="E145" s="219">
        <f>INDEX('Step 4 Stage Discharge'!E$26:M$126,MATCH(C145,'Step 4 Stage Discharge'!E$26:E$126,1),9)+(INDEX('Step 4 Stage Discharge'!E$26:M$126,MATCH('Step 6 Quality Check'!C145,'Step 4 Stage Discharge'!E$26:E$126,1)+1,9)-INDEX('Step 4 Stage Discharge'!E$26:M$126,MATCH('Step 6 Quality Check'!C145,'Step 4 Stage Discharge'!E$26:E$126,1),9))*('Step 6 Quality Check'!C145-INDEX('Step 4 Stage Discharge'!E$26:M$126,MATCH('Step 6 Quality Check'!C145,'Step 4 Stage Discharge'!E$26:E$126,1),1))/(INDEX('Step 4 Stage Discharge'!E$26:M$126,MATCH('Step 6 Quality Check'!C145,'Step 4 Stage Discharge'!E$26:E$126,1)+1,1)-INDEX('Step 4 Stage Discharge'!E$26:M$126,MATCH('Step 6 Quality Check'!C145,'Step 4 Stage Discharge'!E$26:E$126,1),1))</f>
        <v>4.3639431710317386E-3</v>
      </c>
      <c r="F145" s="218">
        <f t="shared" si="10"/>
        <v>0</v>
      </c>
      <c r="G145" s="218">
        <f t="shared" si="11"/>
        <v>0</v>
      </c>
    </row>
    <row r="146" spans="1:7">
      <c r="A146" s="217">
        <f t="shared" si="12"/>
        <v>650</v>
      </c>
      <c r="B146" s="216">
        <f t="shared" ref="B146:B209" si="13">C$6+D146</f>
        <v>99.1</v>
      </c>
      <c r="C146" s="218">
        <f t="shared" ref="C146:C209" si="14">+G145</f>
        <v>0</v>
      </c>
      <c r="D146" s="219">
        <f>INDEX('Step 4 Stage Discharge'!E$26:F$126,MATCH(C146,'Step 4 Stage Discharge'!E$26:E$126,1),2)+(INDEX('Step 4 Stage Discharge'!E$26:F$126,MATCH(C146,'Step 4 Stage Discharge'!E$26:E$126,1)+1,2)-INDEX('Step 4 Stage Discharge'!E$26:F$126,MATCH(C146,'Step 4 Stage Discharge'!E$26:E$126,1),2))*(C146-INDEX('Step 4 Stage Discharge'!E$26:F$126,MATCH(C146,'Step 4 Stage Discharge'!E$26:E$126,1),1))/(INDEX('Step 4 Stage Discharge'!E$26:F$126,MATCH(C146,'Step 4 Stage Discharge'!E$26:E$126,1)+1,1)-INDEX('Step 4 Stage Discharge'!E$26:F$126,MATCH(C146,'Step 4 Stage Discharge'!E$26:E$126,1),1))</f>
        <v>0</v>
      </c>
      <c r="E146" s="219">
        <f>INDEX('Step 4 Stage Discharge'!E$26:M$126,MATCH(C146,'Step 4 Stage Discharge'!E$26:E$126,1),9)+(INDEX('Step 4 Stage Discharge'!E$26:M$126,MATCH('Step 6 Quality Check'!C146,'Step 4 Stage Discharge'!E$26:E$126,1)+1,9)-INDEX('Step 4 Stage Discharge'!E$26:M$126,MATCH('Step 6 Quality Check'!C146,'Step 4 Stage Discharge'!E$26:E$126,1),9))*('Step 6 Quality Check'!C146-INDEX('Step 4 Stage Discharge'!E$26:M$126,MATCH('Step 6 Quality Check'!C146,'Step 4 Stage Discharge'!E$26:E$126,1),1))/(INDEX('Step 4 Stage Discharge'!E$26:M$126,MATCH('Step 6 Quality Check'!C146,'Step 4 Stage Discharge'!E$26:E$126,1)+1,1)-INDEX('Step 4 Stage Discharge'!E$26:M$126,MATCH('Step 6 Quality Check'!C146,'Step 4 Stage Discharge'!E$26:E$126,1),1))</f>
        <v>4.3639431710317386E-3</v>
      </c>
      <c r="F146" s="218">
        <f t="shared" si="10"/>
        <v>0</v>
      </c>
      <c r="G146" s="218">
        <f t="shared" si="11"/>
        <v>0</v>
      </c>
    </row>
    <row r="147" spans="1:7">
      <c r="A147" s="217">
        <f t="shared" si="12"/>
        <v>655</v>
      </c>
      <c r="B147" s="216">
        <f t="shared" si="13"/>
        <v>99.1</v>
      </c>
      <c r="C147" s="218">
        <f t="shared" si="14"/>
        <v>0</v>
      </c>
      <c r="D147" s="219">
        <f>INDEX('Step 4 Stage Discharge'!E$26:F$126,MATCH(C147,'Step 4 Stage Discharge'!E$26:E$126,1),2)+(INDEX('Step 4 Stage Discharge'!E$26:F$126,MATCH(C147,'Step 4 Stage Discharge'!E$26:E$126,1)+1,2)-INDEX('Step 4 Stage Discharge'!E$26:F$126,MATCH(C147,'Step 4 Stage Discharge'!E$26:E$126,1),2))*(C147-INDEX('Step 4 Stage Discharge'!E$26:F$126,MATCH(C147,'Step 4 Stage Discharge'!E$26:E$126,1),1))/(INDEX('Step 4 Stage Discharge'!E$26:F$126,MATCH(C147,'Step 4 Stage Discharge'!E$26:E$126,1)+1,1)-INDEX('Step 4 Stage Discharge'!E$26:F$126,MATCH(C147,'Step 4 Stage Discharge'!E$26:E$126,1),1))</f>
        <v>0</v>
      </c>
      <c r="E147" s="219">
        <f>INDEX('Step 4 Stage Discharge'!E$26:M$126,MATCH(C147,'Step 4 Stage Discharge'!E$26:E$126,1),9)+(INDEX('Step 4 Stage Discharge'!E$26:M$126,MATCH('Step 6 Quality Check'!C147,'Step 4 Stage Discharge'!E$26:E$126,1)+1,9)-INDEX('Step 4 Stage Discharge'!E$26:M$126,MATCH('Step 6 Quality Check'!C147,'Step 4 Stage Discharge'!E$26:E$126,1),9))*('Step 6 Quality Check'!C147-INDEX('Step 4 Stage Discharge'!E$26:M$126,MATCH('Step 6 Quality Check'!C147,'Step 4 Stage Discharge'!E$26:E$126,1),1))/(INDEX('Step 4 Stage Discharge'!E$26:M$126,MATCH('Step 6 Quality Check'!C147,'Step 4 Stage Discharge'!E$26:E$126,1)+1,1)-INDEX('Step 4 Stage Discharge'!E$26:M$126,MATCH('Step 6 Quality Check'!C147,'Step 4 Stage Discharge'!E$26:E$126,1),1))</f>
        <v>4.3639431710317386E-3</v>
      </c>
      <c r="F147" s="218">
        <f t="shared" si="10"/>
        <v>0</v>
      </c>
      <c r="G147" s="218">
        <f t="shared" si="11"/>
        <v>0</v>
      </c>
    </row>
    <row r="148" spans="1:7">
      <c r="A148" s="217">
        <f t="shared" si="12"/>
        <v>660</v>
      </c>
      <c r="B148" s="216">
        <f t="shared" si="13"/>
        <v>99.1</v>
      </c>
      <c r="C148" s="218">
        <f t="shared" si="14"/>
        <v>0</v>
      </c>
      <c r="D148" s="219">
        <f>INDEX('Step 4 Stage Discharge'!E$26:F$126,MATCH(C148,'Step 4 Stage Discharge'!E$26:E$126,1),2)+(INDEX('Step 4 Stage Discharge'!E$26:F$126,MATCH(C148,'Step 4 Stage Discharge'!E$26:E$126,1)+1,2)-INDEX('Step 4 Stage Discharge'!E$26:F$126,MATCH(C148,'Step 4 Stage Discharge'!E$26:E$126,1),2))*(C148-INDEX('Step 4 Stage Discharge'!E$26:F$126,MATCH(C148,'Step 4 Stage Discharge'!E$26:E$126,1),1))/(INDEX('Step 4 Stage Discharge'!E$26:F$126,MATCH(C148,'Step 4 Stage Discharge'!E$26:E$126,1)+1,1)-INDEX('Step 4 Stage Discharge'!E$26:F$126,MATCH(C148,'Step 4 Stage Discharge'!E$26:E$126,1),1))</f>
        <v>0</v>
      </c>
      <c r="E148" s="219">
        <f>INDEX('Step 4 Stage Discharge'!E$26:M$126,MATCH(C148,'Step 4 Stage Discharge'!E$26:E$126,1),9)+(INDEX('Step 4 Stage Discharge'!E$26:M$126,MATCH('Step 6 Quality Check'!C148,'Step 4 Stage Discharge'!E$26:E$126,1)+1,9)-INDEX('Step 4 Stage Discharge'!E$26:M$126,MATCH('Step 6 Quality Check'!C148,'Step 4 Stage Discharge'!E$26:E$126,1),9))*('Step 6 Quality Check'!C148-INDEX('Step 4 Stage Discharge'!E$26:M$126,MATCH('Step 6 Quality Check'!C148,'Step 4 Stage Discharge'!E$26:E$126,1),1))/(INDEX('Step 4 Stage Discharge'!E$26:M$126,MATCH('Step 6 Quality Check'!C148,'Step 4 Stage Discharge'!E$26:E$126,1)+1,1)-INDEX('Step 4 Stage Discharge'!E$26:M$126,MATCH('Step 6 Quality Check'!C148,'Step 4 Stage Discharge'!E$26:E$126,1),1))</f>
        <v>4.3639431710317386E-3</v>
      </c>
      <c r="F148" s="218">
        <f t="shared" si="10"/>
        <v>0</v>
      </c>
      <c r="G148" s="218">
        <f t="shared" si="11"/>
        <v>0</v>
      </c>
    </row>
    <row r="149" spans="1:7">
      <c r="A149" s="217">
        <f t="shared" si="12"/>
        <v>665</v>
      </c>
      <c r="B149" s="216">
        <f t="shared" si="13"/>
        <v>99.1</v>
      </c>
      <c r="C149" s="218">
        <f t="shared" si="14"/>
        <v>0</v>
      </c>
      <c r="D149" s="219">
        <f>INDEX('Step 4 Stage Discharge'!E$26:F$126,MATCH(C149,'Step 4 Stage Discharge'!E$26:E$126,1),2)+(INDEX('Step 4 Stage Discharge'!E$26:F$126,MATCH(C149,'Step 4 Stage Discharge'!E$26:E$126,1)+1,2)-INDEX('Step 4 Stage Discharge'!E$26:F$126,MATCH(C149,'Step 4 Stage Discharge'!E$26:E$126,1),2))*(C149-INDEX('Step 4 Stage Discharge'!E$26:F$126,MATCH(C149,'Step 4 Stage Discharge'!E$26:E$126,1),1))/(INDEX('Step 4 Stage Discharge'!E$26:F$126,MATCH(C149,'Step 4 Stage Discharge'!E$26:E$126,1)+1,1)-INDEX('Step 4 Stage Discharge'!E$26:F$126,MATCH(C149,'Step 4 Stage Discharge'!E$26:E$126,1),1))</f>
        <v>0</v>
      </c>
      <c r="E149" s="219">
        <f>INDEX('Step 4 Stage Discharge'!E$26:M$126,MATCH(C149,'Step 4 Stage Discharge'!E$26:E$126,1),9)+(INDEX('Step 4 Stage Discharge'!E$26:M$126,MATCH('Step 6 Quality Check'!C149,'Step 4 Stage Discharge'!E$26:E$126,1)+1,9)-INDEX('Step 4 Stage Discharge'!E$26:M$126,MATCH('Step 6 Quality Check'!C149,'Step 4 Stage Discharge'!E$26:E$126,1),9))*('Step 6 Quality Check'!C149-INDEX('Step 4 Stage Discharge'!E$26:M$126,MATCH('Step 6 Quality Check'!C149,'Step 4 Stage Discharge'!E$26:E$126,1),1))/(INDEX('Step 4 Stage Discharge'!E$26:M$126,MATCH('Step 6 Quality Check'!C149,'Step 4 Stage Discharge'!E$26:E$126,1)+1,1)-INDEX('Step 4 Stage Discharge'!E$26:M$126,MATCH('Step 6 Quality Check'!C149,'Step 4 Stage Discharge'!E$26:E$126,1),1))</f>
        <v>4.3639431710317386E-3</v>
      </c>
      <c r="F149" s="218">
        <f t="shared" si="10"/>
        <v>0</v>
      </c>
      <c r="G149" s="218">
        <f t="shared" si="11"/>
        <v>0</v>
      </c>
    </row>
    <row r="150" spans="1:7">
      <c r="A150" s="217">
        <f t="shared" si="12"/>
        <v>670</v>
      </c>
      <c r="B150" s="216">
        <f t="shared" si="13"/>
        <v>99.1</v>
      </c>
      <c r="C150" s="218">
        <f t="shared" si="14"/>
        <v>0</v>
      </c>
      <c r="D150" s="219">
        <f>INDEX('Step 4 Stage Discharge'!E$26:F$126,MATCH(C150,'Step 4 Stage Discharge'!E$26:E$126,1),2)+(INDEX('Step 4 Stage Discharge'!E$26:F$126,MATCH(C150,'Step 4 Stage Discharge'!E$26:E$126,1)+1,2)-INDEX('Step 4 Stage Discharge'!E$26:F$126,MATCH(C150,'Step 4 Stage Discharge'!E$26:E$126,1),2))*(C150-INDEX('Step 4 Stage Discharge'!E$26:F$126,MATCH(C150,'Step 4 Stage Discharge'!E$26:E$126,1),1))/(INDEX('Step 4 Stage Discharge'!E$26:F$126,MATCH(C150,'Step 4 Stage Discharge'!E$26:E$126,1)+1,1)-INDEX('Step 4 Stage Discharge'!E$26:F$126,MATCH(C150,'Step 4 Stage Discharge'!E$26:E$126,1),1))</f>
        <v>0</v>
      </c>
      <c r="E150" s="219">
        <f>INDEX('Step 4 Stage Discharge'!E$26:M$126,MATCH(C150,'Step 4 Stage Discharge'!E$26:E$126,1),9)+(INDEX('Step 4 Stage Discharge'!E$26:M$126,MATCH('Step 6 Quality Check'!C150,'Step 4 Stage Discharge'!E$26:E$126,1)+1,9)-INDEX('Step 4 Stage Discharge'!E$26:M$126,MATCH('Step 6 Quality Check'!C150,'Step 4 Stage Discharge'!E$26:E$126,1),9))*('Step 6 Quality Check'!C150-INDEX('Step 4 Stage Discharge'!E$26:M$126,MATCH('Step 6 Quality Check'!C150,'Step 4 Stage Discharge'!E$26:E$126,1),1))/(INDEX('Step 4 Stage Discharge'!E$26:M$126,MATCH('Step 6 Quality Check'!C150,'Step 4 Stage Discharge'!E$26:E$126,1)+1,1)-INDEX('Step 4 Stage Discharge'!E$26:M$126,MATCH('Step 6 Quality Check'!C150,'Step 4 Stage Discharge'!E$26:E$126,1),1))</f>
        <v>4.3639431710317386E-3</v>
      </c>
      <c r="F150" s="218">
        <f t="shared" si="10"/>
        <v>0</v>
      </c>
      <c r="G150" s="218">
        <f t="shared" si="11"/>
        <v>0</v>
      </c>
    </row>
    <row r="151" spans="1:7">
      <c r="A151" s="217">
        <f t="shared" si="12"/>
        <v>675</v>
      </c>
      <c r="B151" s="216">
        <f t="shared" si="13"/>
        <v>99.1</v>
      </c>
      <c r="C151" s="218">
        <f t="shared" si="14"/>
        <v>0</v>
      </c>
      <c r="D151" s="219">
        <f>INDEX('Step 4 Stage Discharge'!E$26:F$126,MATCH(C151,'Step 4 Stage Discharge'!E$26:E$126,1),2)+(INDEX('Step 4 Stage Discharge'!E$26:F$126,MATCH(C151,'Step 4 Stage Discharge'!E$26:E$126,1)+1,2)-INDEX('Step 4 Stage Discharge'!E$26:F$126,MATCH(C151,'Step 4 Stage Discharge'!E$26:E$126,1),2))*(C151-INDEX('Step 4 Stage Discharge'!E$26:F$126,MATCH(C151,'Step 4 Stage Discharge'!E$26:E$126,1),1))/(INDEX('Step 4 Stage Discharge'!E$26:F$126,MATCH(C151,'Step 4 Stage Discharge'!E$26:E$126,1)+1,1)-INDEX('Step 4 Stage Discharge'!E$26:F$126,MATCH(C151,'Step 4 Stage Discharge'!E$26:E$126,1),1))</f>
        <v>0</v>
      </c>
      <c r="E151" s="219">
        <f>INDEX('Step 4 Stage Discharge'!E$26:M$126,MATCH(C151,'Step 4 Stage Discharge'!E$26:E$126,1),9)+(INDEX('Step 4 Stage Discharge'!E$26:M$126,MATCH('Step 6 Quality Check'!C151,'Step 4 Stage Discharge'!E$26:E$126,1)+1,9)-INDEX('Step 4 Stage Discharge'!E$26:M$126,MATCH('Step 6 Quality Check'!C151,'Step 4 Stage Discharge'!E$26:E$126,1),9))*('Step 6 Quality Check'!C151-INDEX('Step 4 Stage Discharge'!E$26:M$126,MATCH('Step 6 Quality Check'!C151,'Step 4 Stage Discharge'!E$26:E$126,1),1))/(INDEX('Step 4 Stage Discharge'!E$26:M$126,MATCH('Step 6 Quality Check'!C151,'Step 4 Stage Discharge'!E$26:E$126,1)+1,1)-INDEX('Step 4 Stage Discharge'!E$26:M$126,MATCH('Step 6 Quality Check'!C151,'Step 4 Stage Discharge'!E$26:E$126,1),1))</f>
        <v>4.3639431710317386E-3</v>
      </c>
      <c r="F151" s="218">
        <f t="shared" si="10"/>
        <v>0</v>
      </c>
      <c r="G151" s="218">
        <f t="shared" si="11"/>
        <v>0</v>
      </c>
    </row>
    <row r="152" spans="1:7">
      <c r="A152" s="217">
        <f t="shared" si="12"/>
        <v>680</v>
      </c>
      <c r="B152" s="216">
        <f t="shared" si="13"/>
        <v>99.1</v>
      </c>
      <c r="C152" s="218">
        <f t="shared" si="14"/>
        <v>0</v>
      </c>
      <c r="D152" s="219">
        <f>INDEX('Step 4 Stage Discharge'!E$26:F$126,MATCH(C152,'Step 4 Stage Discharge'!E$26:E$126,1),2)+(INDEX('Step 4 Stage Discharge'!E$26:F$126,MATCH(C152,'Step 4 Stage Discharge'!E$26:E$126,1)+1,2)-INDEX('Step 4 Stage Discharge'!E$26:F$126,MATCH(C152,'Step 4 Stage Discharge'!E$26:E$126,1),2))*(C152-INDEX('Step 4 Stage Discharge'!E$26:F$126,MATCH(C152,'Step 4 Stage Discharge'!E$26:E$126,1),1))/(INDEX('Step 4 Stage Discharge'!E$26:F$126,MATCH(C152,'Step 4 Stage Discharge'!E$26:E$126,1)+1,1)-INDEX('Step 4 Stage Discharge'!E$26:F$126,MATCH(C152,'Step 4 Stage Discharge'!E$26:E$126,1),1))</f>
        <v>0</v>
      </c>
      <c r="E152" s="219">
        <f>INDEX('Step 4 Stage Discharge'!E$26:M$126,MATCH(C152,'Step 4 Stage Discharge'!E$26:E$126,1),9)+(INDEX('Step 4 Stage Discharge'!E$26:M$126,MATCH('Step 6 Quality Check'!C152,'Step 4 Stage Discharge'!E$26:E$126,1)+1,9)-INDEX('Step 4 Stage Discharge'!E$26:M$126,MATCH('Step 6 Quality Check'!C152,'Step 4 Stage Discharge'!E$26:E$126,1),9))*('Step 6 Quality Check'!C152-INDEX('Step 4 Stage Discharge'!E$26:M$126,MATCH('Step 6 Quality Check'!C152,'Step 4 Stage Discharge'!E$26:E$126,1),1))/(INDEX('Step 4 Stage Discharge'!E$26:M$126,MATCH('Step 6 Quality Check'!C152,'Step 4 Stage Discharge'!E$26:E$126,1)+1,1)-INDEX('Step 4 Stage Discharge'!E$26:M$126,MATCH('Step 6 Quality Check'!C152,'Step 4 Stage Discharge'!E$26:E$126,1),1))</f>
        <v>4.3639431710317386E-3</v>
      </c>
      <c r="F152" s="218">
        <f t="shared" si="10"/>
        <v>0</v>
      </c>
      <c r="G152" s="218">
        <f t="shared" si="11"/>
        <v>0</v>
      </c>
    </row>
    <row r="153" spans="1:7">
      <c r="A153" s="217">
        <f t="shared" si="12"/>
        <v>685</v>
      </c>
      <c r="B153" s="216">
        <f t="shared" si="13"/>
        <v>99.1</v>
      </c>
      <c r="C153" s="218">
        <f t="shared" si="14"/>
        <v>0</v>
      </c>
      <c r="D153" s="219">
        <f>INDEX('Step 4 Stage Discharge'!E$26:F$126,MATCH(C153,'Step 4 Stage Discharge'!E$26:E$126,1),2)+(INDEX('Step 4 Stage Discharge'!E$26:F$126,MATCH(C153,'Step 4 Stage Discharge'!E$26:E$126,1)+1,2)-INDEX('Step 4 Stage Discharge'!E$26:F$126,MATCH(C153,'Step 4 Stage Discharge'!E$26:E$126,1),2))*(C153-INDEX('Step 4 Stage Discharge'!E$26:F$126,MATCH(C153,'Step 4 Stage Discharge'!E$26:E$126,1),1))/(INDEX('Step 4 Stage Discharge'!E$26:F$126,MATCH(C153,'Step 4 Stage Discharge'!E$26:E$126,1)+1,1)-INDEX('Step 4 Stage Discharge'!E$26:F$126,MATCH(C153,'Step 4 Stage Discharge'!E$26:E$126,1),1))</f>
        <v>0</v>
      </c>
      <c r="E153" s="219">
        <f>INDEX('Step 4 Stage Discharge'!E$26:M$126,MATCH(C153,'Step 4 Stage Discharge'!E$26:E$126,1),9)+(INDEX('Step 4 Stage Discharge'!E$26:M$126,MATCH('Step 6 Quality Check'!C153,'Step 4 Stage Discharge'!E$26:E$126,1)+1,9)-INDEX('Step 4 Stage Discharge'!E$26:M$126,MATCH('Step 6 Quality Check'!C153,'Step 4 Stage Discharge'!E$26:E$126,1),9))*('Step 6 Quality Check'!C153-INDEX('Step 4 Stage Discharge'!E$26:M$126,MATCH('Step 6 Quality Check'!C153,'Step 4 Stage Discharge'!E$26:E$126,1),1))/(INDEX('Step 4 Stage Discharge'!E$26:M$126,MATCH('Step 6 Quality Check'!C153,'Step 4 Stage Discharge'!E$26:E$126,1)+1,1)-INDEX('Step 4 Stage Discharge'!E$26:M$126,MATCH('Step 6 Quality Check'!C153,'Step 4 Stage Discharge'!E$26:E$126,1),1))</f>
        <v>4.3639431710317386E-3</v>
      </c>
      <c r="F153" s="218">
        <f t="shared" si="10"/>
        <v>0</v>
      </c>
      <c r="G153" s="218">
        <f t="shared" si="11"/>
        <v>0</v>
      </c>
    </row>
    <row r="154" spans="1:7">
      <c r="A154" s="217">
        <f t="shared" si="12"/>
        <v>690</v>
      </c>
      <c r="B154" s="216">
        <f t="shared" si="13"/>
        <v>99.1</v>
      </c>
      <c r="C154" s="218">
        <f t="shared" si="14"/>
        <v>0</v>
      </c>
      <c r="D154" s="219">
        <f>INDEX('Step 4 Stage Discharge'!E$26:F$126,MATCH(C154,'Step 4 Stage Discharge'!E$26:E$126,1),2)+(INDEX('Step 4 Stage Discharge'!E$26:F$126,MATCH(C154,'Step 4 Stage Discharge'!E$26:E$126,1)+1,2)-INDEX('Step 4 Stage Discharge'!E$26:F$126,MATCH(C154,'Step 4 Stage Discharge'!E$26:E$126,1),2))*(C154-INDEX('Step 4 Stage Discharge'!E$26:F$126,MATCH(C154,'Step 4 Stage Discharge'!E$26:E$126,1),1))/(INDEX('Step 4 Stage Discharge'!E$26:F$126,MATCH(C154,'Step 4 Stage Discharge'!E$26:E$126,1)+1,1)-INDEX('Step 4 Stage Discharge'!E$26:F$126,MATCH(C154,'Step 4 Stage Discharge'!E$26:E$126,1),1))</f>
        <v>0</v>
      </c>
      <c r="E154" s="219">
        <f>INDEX('Step 4 Stage Discharge'!E$26:M$126,MATCH(C154,'Step 4 Stage Discharge'!E$26:E$126,1),9)+(INDEX('Step 4 Stage Discharge'!E$26:M$126,MATCH('Step 6 Quality Check'!C154,'Step 4 Stage Discharge'!E$26:E$126,1)+1,9)-INDEX('Step 4 Stage Discharge'!E$26:M$126,MATCH('Step 6 Quality Check'!C154,'Step 4 Stage Discharge'!E$26:E$126,1),9))*('Step 6 Quality Check'!C154-INDEX('Step 4 Stage Discharge'!E$26:M$126,MATCH('Step 6 Quality Check'!C154,'Step 4 Stage Discharge'!E$26:E$126,1),1))/(INDEX('Step 4 Stage Discharge'!E$26:M$126,MATCH('Step 6 Quality Check'!C154,'Step 4 Stage Discharge'!E$26:E$126,1)+1,1)-INDEX('Step 4 Stage Discharge'!E$26:M$126,MATCH('Step 6 Quality Check'!C154,'Step 4 Stage Discharge'!E$26:E$126,1),1))</f>
        <v>4.3639431710317386E-3</v>
      </c>
      <c r="F154" s="218">
        <f t="shared" si="10"/>
        <v>0</v>
      </c>
      <c r="G154" s="218">
        <f t="shared" si="11"/>
        <v>0</v>
      </c>
    </row>
    <row r="155" spans="1:7">
      <c r="A155" s="217">
        <f t="shared" si="12"/>
        <v>695</v>
      </c>
      <c r="B155" s="216">
        <f t="shared" si="13"/>
        <v>99.1</v>
      </c>
      <c r="C155" s="218">
        <f t="shared" si="14"/>
        <v>0</v>
      </c>
      <c r="D155" s="219">
        <f>INDEX('Step 4 Stage Discharge'!E$26:F$126,MATCH(C155,'Step 4 Stage Discharge'!E$26:E$126,1),2)+(INDEX('Step 4 Stage Discharge'!E$26:F$126,MATCH(C155,'Step 4 Stage Discharge'!E$26:E$126,1)+1,2)-INDEX('Step 4 Stage Discharge'!E$26:F$126,MATCH(C155,'Step 4 Stage Discharge'!E$26:E$126,1),2))*(C155-INDEX('Step 4 Stage Discharge'!E$26:F$126,MATCH(C155,'Step 4 Stage Discharge'!E$26:E$126,1),1))/(INDEX('Step 4 Stage Discharge'!E$26:F$126,MATCH(C155,'Step 4 Stage Discharge'!E$26:E$126,1)+1,1)-INDEX('Step 4 Stage Discharge'!E$26:F$126,MATCH(C155,'Step 4 Stage Discharge'!E$26:E$126,1),1))</f>
        <v>0</v>
      </c>
      <c r="E155" s="219">
        <f>INDEX('Step 4 Stage Discharge'!E$26:M$126,MATCH(C155,'Step 4 Stage Discharge'!E$26:E$126,1),9)+(INDEX('Step 4 Stage Discharge'!E$26:M$126,MATCH('Step 6 Quality Check'!C155,'Step 4 Stage Discharge'!E$26:E$126,1)+1,9)-INDEX('Step 4 Stage Discharge'!E$26:M$126,MATCH('Step 6 Quality Check'!C155,'Step 4 Stage Discharge'!E$26:E$126,1),9))*('Step 6 Quality Check'!C155-INDEX('Step 4 Stage Discharge'!E$26:M$126,MATCH('Step 6 Quality Check'!C155,'Step 4 Stage Discharge'!E$26:E$126,1),1))/(INDEX('Step 4 Stage Discharge'!E$26:M$126,MATCH('Step 6 Quality Check'!C155,'Step 4 Stage Discharge'!E$26:E$126,1)+1,1)-INDEX('Step 4 Stage Discharge'!E$26:M$126,MATCH('Step 6 Quality Check'!C155,'Step 4 Stage Discharge'!E$26:E$126,1),1))</f>
        <v>4.3639431710317386E-3</v>
      </c>
      <c r="F155" s="218">
        <f t="shared" si="10"/>
        <v>0</v>
      </c>
      <c r="G155" s="218">
        <f t="shared" si="11"/>
        <v>0</v>
      </c>
    </row>
    <row r="156" spans="1:7">
      <c r="A156" s="217">
        <f t="shared" si="12"/>
        <v>700</v>
      </c>
      <c r="B156" s="216">
        <f t="shared" si="13"/>
        <v>99.1</v>
      </c>
      <c r="C156" s="218">
        <f t="shared" si="14"/>
        <v>0</v>
      </c>
      <c r="D156" s="219">
        <f>INDEX('Step 4 Stage Discharge'!E$26:F$126,MATCH(C156,'Step 4 Stage Discharge'!E$26:E$126,1),2)+(INDEX('Step 4 Stage Discharge'!E$26:F$126,MATCH(C156,'Step 4 Stage Discharge'!E$26:E$126,1)+1,2)-INDEX('Step 4 Stage Discharge'!E$26:F$126,MATCH(C156,'Step 4 Stage Discharge'!E$26:E$126,1),2))*(C156-INDEX('Step 4 Stage Discharge'!E$26:F$126,MATCH(C156,'Step 4 Stage Discharge'!E$26:E$126,1),1))/(INDEX('Step 4 Stage Discharge'!E$26:F$126,MATCH(C156,'Step 4 Stage Discharge'!E$26:E$126,1)+1,1)-INDEX('Step 4 Stage Discharge'!E$26:F$126,MATCH(C156,'Step 4 Stage Discharge'!E$26:E$126,1),1))</f>
        <v>0</v>
      </c>
      <c r="E156" s="219">
        <f>INDEX('Step 4 Stage Discharge'!E$26:M$126,MATCH(C156,'Step 4 Stage Discharge'!E$26:E$126,1),9)+(INDEX('Step 4 Stage Discharge'!E$26:M$126,MATCH('Step 6 Quality Check'!C156,'Step 4 Stage Discharge'!E$26:E$126,1)+1,9)-INDEX('Step 4 Stage Discharge'!E$26:M$126,MATCH('Step 6 Quality Check'!C156,'Step 4 Stage Discharge'!E$26:E$126,1),9))*('Step 6 Quality Check'!C156-INDEX('Step 4 Stage Discharge'!E$26:M$126,MATCH('Step 6 Quality Check'!C156,'Step 4 Stage Discharge'!E$26:E$126,1),1))/(INDEX('Step 4 Stage Discharge'!E$26:M$126,MATCH('Step 6 Quality Check'!C156,'Step 4 Stage Discharge'!E$26:E$126,1)+1,1)-INDEX('Step 4 Stage Discharge'!E$26:M$126,MATCH('Step 6 Quality Check'!C156,'Step 4 Stage Discharge'!E$26:E$126,1),1))</f>
        <v>4.3639431710317386E-3</v>
      </c>
      <c r="F156" s="218">
        <f t="shared" si="10"/>
        <v>0</v>
      </c>
      <c r="G156" s="218">
        <f t="shared" si="11"/>
        <v>0</v>
      </c>
    </row>
    <row r="157" spans="1:7">
      <c r="A157" s="217">
        <f t="shared" si="12"/>
        <v>705</v>
      </c>
      <c r="B157" s="216">
        <f t="shared" si="13"/>
        <v>99.1</v>
      </c>
      <c r="C157" s="218">
        <f t="shared" si="14"/>
        <v>0</v>
      </c>
      <c r="D157" s="219">
        <f>INDEX('Step 4 Stage Discharge'!E$26:F$126,MATCH(C157,'Step 4 Stage Discharge'!E$26:E$126,1),2)+(INDEX('Step 4 Stage Discharge'!E$26:F$126,MATCH(C157,'Step 4 Stage Discharge'!E$26:E$126,1)+1,2)-INDEX('Step 4 Stage Discharge'!E$26:F$126,MATCH(C157,'Step 4 Stage Discharge'!E$26:E$126,1),2))*(C157-INDEX('Step 4 Stage Discharge'!E$26:F$126,MATCH(C157,'Step 4 Stage Discharge'!E$26:E$126,1),1))/(INDEX('Step 4 Stage Discharge'!E$26:F$126,MATCH(C157,'Step 4 Stage Discharge'!E$26:E$126,1)+1,1)-INDEX('Step 4 Stage Discharge'!E$26:F$126,MATCH(C157,'Step 4 Stage Discharge'!E$26:E$126,1),1))</f>
        <v>0</v>
      </c>
      <c r="E157" s="219">
        <f>INDEX('Step 4 Stage Discharge'!E$26:M$126,MATCH(C157,'Step 4 Stage Discharge'!E$26:E$126,1),9)+(INDEX('Step 4 Stage Discharge'!E$26:M$126,MATCH('Step 6 Quality Check'!C157,'Step 4 Stage Discharge'!E$26:E$126,1)+1,9)-INDEX('Step 4 Stage Discharge'!E$26:M$126,MATCH('Step 6 Quality Check'!C157,'Step 4 Stage Discharge'!E$26:E$126,1),9))*('Step 6 Quality Check'!C157-INDEX('Step 4 Stage Discharge'!E$26:M$126,MATCH('Step 6 Quality Check'!C157,'Step 4 Stage Discharge'!E$26:E$126,1),1))/(INDEX('Step 4 Stage Discharge'!E$26:M$126,MATCH('Step 6 Quality Check'!C157,'Step 4 Stage Discharge'!E$26:E$126,1)+1,1)-INDEX('Step 4 Stage Discharge'!E$26:M$126,MATCH('Step 6 Quality Check'!C157,'Step 4 Stage Discharge'!E$26:E$126,1),1))</f>
        <v>4.3639431710317386E-3</v>
      </c>
      <c r="F157" s="218">
        <f t="shared" si="10"/>
        <v>0</v>
      </c>
      <c r="G157" s="218">
        <f t="shared" si="11"/>
        <v>0</v>
      </c>
    </row>
    <row r="158" spans="1:7">
      <c r="A158" s="217">
        <f t="shared" si="12"/>
        <v>710</v>
      </c>
      <c r="B158" s="216">
        <f t="shared" si="13"/>
        <v>99.1</v>
      </c>
      <c r="C158" s="218">
        <f t="shared" si="14"/>
        <v>0</v>
      </c>
      <c r="D158" s="219">
        <f>INDEX('Step 4 Stage Discharge'!E$26:F$126,MATCH(C158,'Step 4 Stage Discharge'!E$26:E$126,1),2)+(INDEX('Step 4 Stage Discharge'!E$26:F$126,MATCH(C158,'Step 4 Stage Discharge'!E$26:E$126,1)+1,2)-INDEX('Step 4 Stage Discharge'!E$26:F$126,MATCH(C158,'Step 4 Stage Discharge'!E$26:E$126,1),2))*(C158-INDEX('Step 4 Stage Discharge'!E$26:F$126,MATCH(C158,'Step 4 Stage Discharge'!E$26:E$126,1),1))/(INDEX('Step 4 Stage Discharge'!E$26:F$126,MATCH(C158,'Step 4 Stage Discharge'!E$26:E$126,1)+1,1)-INDEX('Step 4 Stage Discharge'!E$26:F$126,MATCH(C158,'Step 4 Stage Discharge'!E$26:E$126,1),1))</f>
        <v>0</v>
      </c>
      <c r="E158" s="219">
        <f>INDEX('Step 4 Stage Discharge'!E$26:M$126,MATCH(C158,'Step 4 Stage Discharge'!E$26:E$126,1),9)+(INDEX('Step 4 Stage Discharge'!E$26:M$126,MATCH('Step 6 Quality Check'!C158,'Step 4 Stage Discharge'!E$26:E$126,1)+1,9)-INDEX('Step 4 Stage Discharge'!E$26:M$126,MATCH('Step 6 Quality Check'!C158,'Step 4 Stage Discharge'!E$26:E$126,1),9))*('Step 6 Quality Check'!C158-INDEX('Step 4 Stage Discharge'!E$26:M$126,MATCH('Step 6 Quality Check'!C158,'Step 4 Stage Discharge'!E$26:E$126,1),1))/(INDEX('Step 4 Stage Discharge'!E$26:M$126,MATCH('Step 6 Quality Check'!C158,'Step 4 Stage Discharge'!E$26:E$126,1)+1,1)-INDEX('Step 4 Stage Discharge'!E$26:M$126,MATCH('Step 6 Quality Check'!C158,'Step 4 Stage Discharge'!E$26:E$126,1),1))</f>
        <v>4.3639431710317386E-3</v>
      </c>
      <c r="F158" s="218">
        <f t="shared" si="10"/>
        <v>0</v>
      </c>
      <c r="G158" s="218">
        <f t="shared" si="11"/>
        <v>0</v>
      </c>
    </row>
    <row r="159" spans="1:7">
      <c r="A159" s="217">
        <f t="shared" si="12"/>
        <v>715</v>
      </c>
      <c r="B159" s="216">
        <f t="shared" si="13"/>
        <v>99.1</v>
      </c>
      <c r="C159" s="218">
        <f t="shared" si="14"/>
        <v>0</v>
      </c>
      <c r="D159" s="219">
        <f>INDEX('Step 4 Stage Discharge'!E$26:F$126,MATCH(C159,'Step 4 Stage Discharge'!E$26:E$126,1),2)+(INDEX('Step 4 Stage Discharge'!E$26:F$126,MATCH(C159,'Step 4 Stage Discharge'!E$26:E$126,1)+1,2)-INDEX('Step 4 Stage Discharge'!E$26:F$126,MATCH(C159,'Step 4 Stage Discharge'!E$26:E$126,1),2))*(C159-INDEX('Step 4 Stage Discharge'!E$26:F$126,MATCH(C159,'Step 4 Stage Discharge'!E$26:E$126,1),1))/(INDEX('Step 4 Stage Discharge'!E$26:F$126,MATCH(C159,'Step 4 Stage Discharge'!E$26:E$126,1)+1,1)-INDEX('Step 4 Stage Discharge'!E$26:F$126,MATCH(C159,'Step 4 Stage Discharge'!E$26:E$126,1),1))</f>
        <v>0</v>
      </c>
      <c r="E159" s="219">
        <f>INDEX('Step 4 Stage Discharge'!E$26:M$126,MATCH(C159,'Step 4 Stage Discharge'!E$26:E$126,1),9)+(INDEX('Step 4 Stage Discharge'!E$26:M$126,MATCH('Step 6 Quality Check'!C159,'Step 4 Stage Discharge'!E$26:E$126,1)+1,9)-INDEX('Step 4 Stage Discharge'!E$26:M$126,MATCH('Step 6 Quality Check'!C159,'Step 4 Stage Discharge'!E$26:E$126,1),9))*('Step 6 Quality Check'!C159-INDEX('Step 4 Stage Discharge'!E$26:M$126,MATCH('Step 6 Quality Check'!C159,'Step 4 Stage Discharge'!E$26:E$126,1),1))/(INDEX('Step 4 Stage Discharge'!E$26:M$126,MATCH('Step 6 Quality Check'!C159,'Step 4 Stage Discharge'!E$26:E$126,1)+1,1)-INDEX('Step 4 Stage Discharge'!E$26:M$126,MATCH('Step 6 Quality Check'!C159,'Step 4 Stage Discharge'!E$26:E$126,1),1))</f>
        <v>4.3639431710317386E-3</v>
      </c>
      <c r="F159" s="218">
        <f t="shared" si="10"/>
        <v>0</v>
      </c>
      <c r="G159" s="218">
        <f t="shared" si="11"/>
        <v>0</v>
      </c>
    </row>
    <row r="160" spans="1:7">
      <c r="A160" s="217">
        <f t="shared" si="12"/>
        <v>720</v>
      </c>
      <c r="B160" s="216">
        <f t="shared" si="13"/>
        <v>99.1</v>
      </c>
      <c r="C160" s="218">
        <f t="shared" si="14"/>
        <v>0</v>
      </c>
      <c r="D160" s="219">
        <f>INDEX('Step 4 Stage Discharge'!E$26:F$126,MATCH(C160,'Step 4 Stage Discharge'!E$26:E$126,1),2)+(INDEX('Step 4 Stage Discharge'!E$26:F$126,MATCH(C160,'Step 4 Stage Discharge'!E$26:E$126,1)+1,2)-INDEX('Step 4 Stage Discharge'!E$26:F$126,MATCH(C160,'Step 4 Stage Discharge'!E$26:E$126,1),2))*(C160-INDEX('Step 4 Stage Discharge'!E$26:F$126,MATCH(C160,'Step 4 Stage Discharge'!E$26:E$126,1),1))/(INDEX('Step 4 Stage Discharge'!E$26:F$126,MATCH(C160,'Step 4 Stage Discharge'!E$26:E$126,1)+1,1)-INDEX('Step 4 Stage Discharge'!E$26:F$126,MATCH(C160,'Step 4 Stage Discharge'!E$26:E$126,1),1))</f>
        <v>0</v>
      </c>
      <c r="E160" s="219">
        <f>INDEX('Step 4 Stage Discharge'!E$26:M$126,MATCH(C160,'Step 4 Stage Discharge'!E$26:E$126,1),9)+(INDEX('Step 4 Stage Discharge'!E$26:M$126,MATCH('Step 6 Quality Check'!C160,'Step 4 Stage Discharge'!E$26:E$126,1)+1,9)-INDEX('Step 4 Stage Discharge'!E$26:M$126,MATCH('Step 6 Quality Check'!C160,'Step 4 Stage Discharge'!E$26:E$126,1),9))*('Step 6 Quality Check'!C160-INDEX('Step 4 Stage Discharge'!E$26:M$126,MATCH('Step 6 Quality Check'!C160,'Step 4 Stage Discharge'!E$26:E$126,1),1))/(INDEX('Step 4 Stage Discharge'!E$26:M$126,MATCH('Step 6 Quality Check'!C160,'Step 4 Stage Discharge'!E$26:E$126,1)+1,1)-INDEX('Step 4 Stage Discharge'!E$26:M$126,MATCH('Step 6 Quality Check'!C160,'Step 4 Stage Discharge'!E$26:E$126,1),1))</f>
        <v>4.3639431710317386E-3</v>
      </c>
      <c r="F160" s="218">
        <f t="shared" si="10"/>
        <v>0</v>
      </c>
      <c r="G160" s="218">
        <f t="shared" si="11"/>
        <v>0</v>
      </c>
    </row>
    <row r="161" spans="1:7">
      <c r="A161" s="217">
        <f t="shared" si="12"/>
        <v>725</v>
      </c>
      <c r="B161" s="216">
        <f t="shared" si="13"/>
        <v>99.1</v>
      </c>
      <c r="C161" s="218">
        <f t="shared" si="14"/>
        <v>0</v>
      </c>
      <c r="D161" s="219">
        <f>INDEX('Step 4 Stage Discharge'!E$26:F$126,MATCH(C161,'Step 4 Stage Discharge'!E$26:E$126,1),2)+(INDEX('Step 4 Stage Discharge'!E$26:F$126,MATCH(C161,'Step 4 Stage Discharge'!E$26:E$126,1)+1,2)-INDEX('Step 4 Stage Discharge'!E$26:F$126,MATCH(C161,'Step 4 Stage Discharge'!E$26:E$126,1),2))*(C161-INDEX('Step 4 Stage Discharge'!E$26:F$126,MATCH(C161,'Step 4 Stage Discharge'!E$26:E$126,1),1))/(INDEX('Step 4 Stage Discharge'!E$26:F$126,MATCH(C161,'Step 4 Stage Discharge'!E$26:E$126,1)+1,1)-INDEX('Step 4 Stage Discharge'!E$26:F$126,MATCH(C161,'Step 4 Stage Discharge'!E$26:E$126,1),1))</f>
        <v>0</v>
      </c>
      <c r="E161" s="219">
        <f>INDEX('Step 4 Stage Discharge'!E$26:M$126,MATCH(C161,'Step 4 Stage Discharge'!E$26:E$126,1),9)+(INDEX('Step 4 Stage Discharge'!E$26:M$126,MATCH('Step 6 Quality Check'!C161,'Step 4 Stage Discharge'!E$26:E$126,1)+1,9)-INDEX('Step 4 Stage Discharge'!E$26:M$126,MATCH('Step 6 Quality Check'!C161,'Step 4 Stage Discharge'!E$26:E$126,1),9))*('Step 6 Quality Check'!C161-INDEX('Step 4 Stage Discharge'!E$26:M$126,MATCH('Step 6 Quality Check'!C161,'Step 4 Stage Discharge'!E$26:E$126,1),1))/(INDEX('Step 4 Stage Discharge'!E$26:M$126,MATCH('Step 6 Quality Check'!C161,'Step 4 Stage Discharge'!E$26:E$126,1)+1,1)-INDEX('Step 4 Stage Discharge'!E$26:M$126,MATCH('Step 6 Quality Check'!C161,'Step 4 Stage Discharge'!E$26:E$126,1),1))</f>
        <v>4.3639431710317386E-3</v>
      </c>
      <c r="F161" s="218">
        <f t="shared" si="10"/>
        <v>0</v>
      </c>
      <c r="G161" s="218">
        <f t="shared" si="11"/>
        <v>0</v>
      </c>
    </row>
    <row r="162" spans="1:7">
      <c r="A162" s="217">
        <f t="shared" si="12"/>
        <v>730</v>
      </c>
      <c r="B162" s="216">
        <f t="shared" si="13"/>
        <v>99.1</v>
      </c>
      <c r="C162" s="218">
        <f t="shared" si="14"/>
        <v>0</v>
      </c>
      <c r="D162" s="219">
        <f>INDEX('Step 4 Stage Discharge'!E$26:F$126,MATCH(C162,'Step 4 Stage Discharge'!E$26:E$126,1),2)+(INDEX('Step 4 Stage Discharge'!E$26:F$126,MATCH(C162,'Step 4 Stage Discharge'!E$26:E$126,1)+1,2)-INDEX('Step 4 Stage Discharge'!E$26:F$126,MATCH(C162,'Step 4 Stage Discharge'!E$26:E$126,1),2))*(C162-INDEX('Step 4 Stage Discharge'!E$26:F$126,MATCH(C162,'Step 4 Stage Discharge'!E$26:E$126,1),1))/(INDEX('Step 4 Stage Discharge'!E$26:F$126,MATCH(C162,'Step 4 Stage Discharge'!E$26:E$126,1)+1,1)-INDEX('Step 4 Stage Discharge'!E$26:F$126,MATCH(C162,'Step 4 Stage Discharge'!E$26:E$126,1),1))</f>
        <v>0</v>
      </c>
      <c r="E162" s="219">
        <f>INDEX('Step 4 Stage Discharge'!E$26:M$126,MATCH(C162,'Step 4 Stage Discharge'!E$26:E$126,1),9)+(INDEX('Step 4 Stage Discharge'!E$26:M$126,MATCH('Step 6 Quality Check'!C162,'Step 4 Stage Discharge'!E$26:E$126,1)+1,9)-INDEX('Step 4 Stage Discharge'!E$26:M$126,MATCH('Step 6 Quality Check'!C162,'Step 4 Stage Discharge'!E$26:E$126,1),9))*('Step 6 Quality Check'!C162-INDEX('Step 4 Stage Discharge'!E$26:M$126,MATCH('Step 6 Quality Check'!C162,'Step 4 Stage Discharge'!E$26:E$126,1),1))/(INDEX('Step 4 Stage Discharge'!E$26:M$126,MATCH('Step 6 Quality Check'!C162,'Step 4 Stage Discharge'!E$26:E$126,1)+1,1)-INDEX('Step 4 Stage Discharge'!E$26:M$126,MATCH('Step 6 Quality Check'!C162,'Step 4 Stage Discharge'!E$26:E$126,1),1))</f>
        <v>4.3639431710317386E-3</v>
      </c>
      <c r="F162" s="218">
        <f t="shared" si="10"/>
        <v>0</v>
      </c>
      <c r="G162" s="218">
        <f t="shared" si="11"/>
        <v>0</v>
      </c>
    </row>
    <row r="163" spans="1:7">
      <c r="A163" s="217">
        <f t="shared" si="12"/>
        <v>735</v>
      </c>
      <c r="B163" s="216">
        <f t="shared" si="13"/>
        <v>99.1</v>
      </c>
      <c r="C163" s="218">
        <f t="shared" si="14"/>
        <v>0</v>
      </c>
      <c r="D163" s="219">
        <f>INDEX('Step 4 Stage Discharge'!E$26:F$126,MATCH(C163,'Step 4 Stage Discharge'!E$26:E$126,1),2)+(INDEX('Step 4 Stage Discharge'!E$26:F$126,MATCH(C163,'Step 4 Stage Discharge'!E$26:E$126,1)+1,2)-INDEX('Step 4 Stage Discharge'!E$26:F$126,MATCH(C163,'Step 4 Stage Discharge'!E$26:E$126,1),2))*(C163-INDEX('Step 4 Stage Discharge'!E$26:F$126,MATCH(C163,'Step 4 Stage Discharge'!E$26:E$126,1),1))/(INDEX('Step 4 Stage Discharge'!E$26:F$126,MATCH(C163,'Step 4 Stage Discharge'!E$26:E$126,1)+1,1)-INDEX('Step 4 Stage Discharge'!E$26:F$126,MATCH(C163,'Step 4 Stage Discharge'!E$26:E$126,1),1))</f>
        <v>0</v>
      </c>
      <c r="E163" s="219">
        <f>INDEX('Step 4 Stage Discharge'!E$26:M$126,MATCH(C163,'Step 4 Stage Discharge'!E$26:E$126,1),9)+(INDEX('Step 4 Stage Discharge'!E$26:M$126,MATCH('Step 6 Quality Check'!C163,'Step 4 Stage Discharge'!E$26:E$126,1)+1,9)-INDEX('Step 4 Stage Discharge'!E$26:M$126,MATCH('Step 6 Quality Check'!C163,'Step 4 Stage Discharge'!E$26:E$126,1),9))*('Step 6 Quality Check'!C163-INDEX('Step 4 Stage Discharge'!E$26:M$126,MATCH('Step 6 Quality Check'!C163,'Step 4 Stage Discharge'!E$26:E$126,1),1))/(INDEX('Step 4 Stage Discharge'!E$26:M$126,MATCH('Step 6 Quality Check'!C163,'Step 4 Stage Discharge'!E$26:E$126,1)+1,1)-INDEX('Step 4 Stage Discharge'!E$26:M$126,MATCH('Step 6 Quality Check'!C163,'Step 4 Stage Discharge'!E$26:E$126,1),1))</f>
        <v>4.3639431710317386E-3</v>
      </c>
      <c r="F163" s="218">
        <f t="shared" si="10"/>
        <v>0</v>
      </c>
      <c r="G163" s="218">
        <f t="shared" si="11"/>
        <v>0</v>
      </c>
    </row>
    <row r="164" spans="1:7">
      <c r="A164" s="217">
        <f t="shared" si="12"/>
        <v>740</v>
      </c>
      <c r="B164" s="216">
        <f t="shared" si="13"/>
        <v>99.1</v>
      </c>
      <c r="C164" s="218">
        <f t="shared" si="14"/>
        <v>0</v>
      </c>
      <c r="D164" s="219">
        <f>INDEX('Step 4 Stage Discharge'!E$26:F$126,MATCH(C164,'Step 4 Stage Discharge'!E$26:E$126,1),2)+(INDEX('Step 4 Stage Discharge'!E$26:F$126,MATCH(C164,'Step 4 Stage Discharge'!E$26:E$126,1)+1,2)-INDEX('Step 4 Stage Discharge'!E$26:F$126,MATCH(C164,'Step 4 Stage Discharge'!E$26:E$126,1),2))*(C164-INDEX('Step 4 Stage Discharge'!E$26:F$126,MATCH(C164,'Step 4 Stage Discharge'!E$26:E$126,1),1))/(INDEX('Step 4 Stage Discharge'!E$26:F$126,MATCH(C164,'Step 4 Stage Discharge'!E$26:E$126,1)+1,1)-INDEX('Step 4 Stage Discharge'!E$26:F$126,MATCH(C164,'Step 4 Stage Discharge'!E$26:E$126,1),1))</f>
        <v>0</v>
      </c>
      <c r="E164" s="219">
        <f>INDEX('Step 4 Stage Discharge'!E$26:M$126,MATCH(C164,'Step 4 Stage Discharge'!E$26:E$126,1),9)+(INDEX('Step 4 Stage Discharge'!E$26:M$126,MATCH('Step 6 Quality Check'!C164,'Step 4 Stage Discharge'!E$26:E$126,1)+1,9)-INDEX('Step 4 Stage Discharge'!E$26:M$126,MATCH('Step 6 Quality Check'!C164,'Step 4 Stage Discharge'!E$26:E$126,1),9))*('Step 6 Quality Check'!C164-INDEX('Step 4 Stage Discharge'!E$26:M$126,MATCH('Step 6 Quality Check'!C164,'Step 4 Stage Discharge'!E$26:E$126,1),1))/(INDEX('Step 4 Stage Discharge'!E$26:M$126,MATCH('Step 6 Quality Check'!C164,'Step 4 Stage Discharge'!E$26:E$126,1)+1,1)-INDEX('Step 4 Stage Discharge'!E$26:M$126,MATCH('Step 6 Quality Check'!C164,'Step 4 Stage Discharge'!E$26:E$126,1),1))</f>
        <v>4.3639431710317386E-3</v>
      </c>
      <c r="F164" s="218">
        <f t="shared" si="10"/>
        <v>0</v>
      </c>
      <c r="G164" s="218">
        <f t="shared" si="11"/>
        <v>0</v>
      </c>
    </row>
    <row r="165" spans="1:7">
      <c r="A165" s="217">
        <f t="shared" si="12"/>
        <v>745</v>
      </c>
      <c r="B165" s="216">
        <f t="shared" si="13"/>
        <v>99.1</v>
      </c>
      <c r="C165" s="218">
        <f t="shared" si="14"/>
        <v>0</v>
      </c>
      <c r="D165" s="219">
        <f>INDEX('Step 4 Stage Discharge'!E$26:F$126,MATCH(C165,'Step 4 Stage Discharge'!E$26:E$126,1),2)+(INDEX('Step 4 Stage Discharge'!E$26:F$126,MATCH(C165,'Step 4 Stage Discharge'!E$26:E$126,1)+1,2)-INDEX('Step 4 Stage Discharge'!E$26:F$126,MATCH(C165,'Step 4 Stage Discharge'!E$26:E$126,1),2))*(C165-INDEX('Step 4 Stage Discharge'!E$26:F$126,MATCH(C165,'Step 4 Stage Discharge'!E$26:E$126,1),1))/(INDEX('Step 4 Stage Discharge'!E$26:F$126,MATCH(C165,'Step 4 Stage Discharge'!E$26:E$126,1)+1,1)-INDEX('Step 4 Stage Discharge'!E$26:F$126,MATCH(C165,'Step 4 Stage Discharge'!E$26:E$126,1),1))</f>
        <v>0</v>
      </c>
      <c r="E165" s="219">
        <f>INDEX('Step 4 Stage Discharge'!E$26:M$126,MATCH(C165,'Step 4 Stage Discharge'!E$26:E$126,1),9)+(INDEX('Step 4 Stage Discharge'!E$26:M$126,MATCH('Step 6 Quality Check'!C165,'Step 4 Stage Discharge'!E$26:E$126,1)+1,9)-INDEX('Step 4 Stage Discharge'!E$26:M$126,MATCH('Step 6 Quality Check'!C165,'Step 4 Stage Discharge'!E$26:E$126,1),9))*('Step 6 Quality Check'!C165-INDEX('Step 4 Stage Discharge'!E$26:M$126,MATCH('Step 6 Quality Check'!C165,'Step 4 Stage Discharge'!E$26:E$126,1),1))/(INDEX('Step 4 Stage Discharge'!E$26:M$126,MATCH('Step 6 Quality Check'!C165,'Step 4 Stage Discharge'!E$26:E$126,1)+1,1)-INDEX('Step 4 Stage Discharge'!E$26:M$126,MATCH('Step 6 Quality Check'!C165,'Step 4 Stage Discharge'!E$26:E$126,1),1))</f>
        <v>4.3639431710317386E-3</v>
      </c>
      <c r="F165" s="218">
        <f t="shared" si="10"/>
        <v>0</v>
      </c>
      <c r="G165" s="218">
        <f t="shared" si="11"/>
        <v>0</v>
      </c>
    </row>
    <row r="166" spans="1:7">
      <c r="A166" s="217">
        <f t="shared" si="12"/>
        <v>750</v>
      </c>
      <c r="B166" s="216">
        <f t="shared" si="13"/>
        <v>99.1</v>
      </c>
      <c r="C166" s="218">
        <f t="shared" si="14"/>
        <v>0</v>
      </c>
      <c r="D166" s="219">
        <f>INDEX('Step 4 Stage Discharge'!E$26:F$126,MATCH(C166,'Step 4 Stage Discharge'!E$26:E$126,1),2)+(INDEX('Step 4 Stage Discharge'!E$26:F$126,MATCH(C166,'Step 4 Stage Discharge'!E$26:E$126,1)+1,2)-INDEX('Step 4 Stage Discharge'!E$26:F$126,MATCH(C166,'Step 4 Stage Discharge'!E$26:E$126,1),2))*(C166-INDEX('Step 4 Stage Discharge'!E$26:F$126,MATCH(C166,'Step 4 Stage Discharge'!E$26:E$126,1),1))/(INDEX('Step 4 Stage Discharge'!E$26:F$126,MATCH(C166,'Step 4 Stage Discharge'!E$26:E$126,1)+1,1)-INDEX('Step 4 Stage Discharge'!E$26:F$126,MATCH(C166,'Step 4 Stage Discharge'!E$26:E$126,1),1))</f>
        <v>0</v>
      </c>
      <c r="E166" s="219">
        <f>INDEX('Step 4 Stage Discharge'!E$26:M$126,MATCH(C166,'Step 4 Stage Discharge'!E$26:E$126,1),9)+(INDEX('Step 4 Stage Discharge'!E$26:M$126,MATCH('Step 6 Quality Check'!C166,'Step 4 Stage Discharge'!E$26:E$126,1)+1,9)-INDEX('Step 4 Stage Discharge'!E$26:M$126,MATCH('Step 6 Quality Check'!C166,'Step 4 Stage Discharge'!E$26:E$126,1),9))*('Step 6 Quality Check'!C166-INDEX('Step 4 Stage Discharge'!E$26:M$126,MATCH('Step 6 Quality Check'!C166,'Step 4 Stage Discharge'!E$26:E$126,1),1))/(INDEX('Step 4 Stage Discharge'!E$26:M$126,MATCH('Step 6 Quality Check'!C166,'Step 4 Stage Discharge'!E$26:E$126,1)+1,1)-INDEX('Step 4 Stage Discharge'!E$26:M$126,MATCH('Step 6 Quality Check'!C166,'Step 4 Stage Discharge'!E$26:E$126,1),1))</f>
        <v>4.3639431710317386E-3</v>
      </c>
      <c r="F166" s="218">
        <f t="shared" si="10"/>
        <v>0</v>
      </c>
      <c r="G166" s="218">
        <f t="shared" si="11"/>
        <v>0</v>
      </c>
    </row>
    <row r="167" spans="1:7">
      <c r="A167" s="217">
        <f t="shared" si="12"/>
        <v>755</v>
      </c>
      <c r="B167" s="216">
        <f t="shared" si="13"/>
        <v>99.1</v>
      </c>
      <c r="C167" s="218">
        <f t="shared" si="14"/>
        <v>0</v>
      </c>
      <c r="D167" s="219">
        <f>INDEX('Step 4 Stage Discharge'!E$26:F$126,MATCH(C167,'Step 4 Stage Discharge'!E$26:E$126,1),2)+(INDEX('Step 4 Stage Discharge'!E$26:F$126,MATCH(C167,'Step 4 Stage Discharge'!E$26:E$126,1)+1,2)-INDEX('Step 4 Stage Discharge'!E$26:F$126,MATCH(C167,'Step 4 Stage Discharge'!E$26:E$126,1),2))*(C167-INDEX('Step 4 Stage Discharge'!E$26:F$126,MATCH(C167,'Step 4 Stage Discharge'!E$26:E$126,1),1))/(INDEX('Step 4 Stage Discharge'!E$26:F$126,MATCH(C167,'Step 4 Stage Discharge'!E$26:E$126,1)+1,1)-INDEX('Step 4 Stage Discharge'!E$26:F$126,MATCH(C167,'Step 4 Stage Discharge'!E$26:E$126,1),1))</f>
        <v>0</v>
      </c>
      <c r="E167" s="219">
        <f>INDEX('Step 4 Stage Discharge'!E$26:M$126,MATCH(C167,'Step 4 Stage Discharge'!E$26:E$126,1),9)+(INDEX('Step 4 Stage Discharge'!E$26:M$126,MATCH('Step 6 Quality Check'!C167,'Step 4 Stage Discharge'!E$26:E$126,1)+1,9)-INDEX('Step 4 Stage Discharge'!E$26:M$126,MATCH('Step 6 Quality Check'!C167,'Step 4 Stage Discharge'!E$26:E$126,1),9))*('Step 6 Quality Check'!C167-INDEX('Step 4 Stage Discharge'!E$26:M$126,MATCH('Step 6 Quality Check'!C167,'Step 4 Stage Discharge'!E$26:E$126,1),1))/(INDEX('Step 4 Stage Discharge'!E$26:M$126,MATCH('Step 6 Quality Check'!C167,'Step 4 Stage Discharge'!E$26:E$126,1)+1,1)-INDEX('Step 4 Stage Discharge'!E$26:M$126,MATCH('Step 6 Quality Check'!C167,'Step 4 Stage Discharge'!E$26:E$126,1),1))</f>
        <v>4.3639431710317386E-3</v>
      </c>
      <c r="F167" s="218">
        <f t="shared" si="10"/>
        <v>0</v>
      </c>
      <c r="G167" s="218">
        <f t="shared" si="11"/>
        <v>0</v>
      </c>
    </row>
    <row r="168" spans="1:7">
      <c r="A168" s="217">
        <f t="shared" si="12"/>
        <v>760</v>
      </c>
      <c r="B168" s="216">
        <f t="shared" si="13"/>
        <v>99.1</v>
      </c>
      <c r="C168" s="218">
        <f t="shared" si="14"/>
        <v>0</v>
      </c>
      <c r="D168" s="219">
        <f>INDEX('Step 4 Stage Discharge'!E$26:F$126,MATCH(C168,'Step 4 Stage Discharge'!E$26:E$126,1),2)+(INDEX('Step 4 Stage Discharge'!E$26:F$126,MATCH(C168,'Step 4 Stage Discharge'!E$26:E$126,1)+1,2)-INDEX('Step 4 Stage Discharge'!E$26:F$126,MATCH(C168,'Step 4 Stage Discharge'!E$26:E$126,1),2))*(C168-INDEX('Step 4 Stage Discharge'!E$26:F$126,MATCH(C168,'Step 4 Stage Discharge'!E$26:E$126,1),1))/(INDEX('Step 4 Stage Discharge'!E$26:F$126,MATCH(C168,'Step 4 Stage Discharge'!E$26:E$126,1)+1,1)-INDEX('Step 4 Stage Discharge'!E$26:F$126,MATCH(C168,'Step 4 Stage Discharge'!E$26:E$126,1),1))</f>
        <v>0</v>
      </c>
      <c r="E168" s="219">
        <f>INDEX('Step 4 Stage Discharge'!E$26:M$126,MATCH(C168,'Step 4 Stage Discharge'!E$26:E$126,1),9)+(INDEX('Step 4 Stage Discharge'!E$26:M$126,MATCH('Step 6 Quality Check'!C168,'Step 4 Stage Discharge'!E$26:E$126,1)+1,9)-INDEX('Step 4 Stage Discharge'!E$26:M$126,MATCH('Step 6 Quality Check'!C168,'Step 4 Stage Discharge'!E$26:E$126,1),9))*('Step 6 Quality Check'!C168-INDEX('Step 4 Stage Discharge'!E$26:M$126,MATCH('Step 6 Quality Check'!C168,'Step 4 Stage Discharge'!E$26:E$126,1),1))/(INDEX('Step 4 Stage Discharge'!E$26:M$126,MATCH('Step 6 Quality Check'!C168,'Step 4 Stage Discharge'!E$26:E$126,1)+1,1)-INDEX('Step 4 Stage Discharge'!E$26:M$126,MATCH('Step 6 Quality Check'!C168,'Step 4 Stage Discharge'!E$26:E$126,1),1))</f>
        <v>4.3639431710317386E-3</v>
      </c>
      <c r="F168" s="218">
        <f t="shared" si="10"/>
        <v>0</v>
      </c>
      <c r="G168" s="218">
        <f t="shared" si="11"/>
        <v>0</v>
      </c>
    </row>
    <row r="169" spans="1:7">
      <c r="A169" s="217">
        <f t="shared" si="12"/>
        <v>765</v>
      </c>
      <c r="B169" s="216">
        <f t="shared" si="13"/>
        <v>99.1</v>
      </c>
      <c r="C169" s="218">
        <f t="shared" si="14"/>
        <v>0</v>
      </c>
      <c r="D169" s="219">
        <f>INDEX('Step 4 Stage Discharge'!E$26:F$126,MATCH(C169,'Step 4 Stage Discharge'!E$26:E$126,1),2)+(INDEX('Step 4 Stage Discharge'!E$26:F$126,MATCH(C169,'Step 4 Stage Discharge'!E$26:E$126,1)+1,2)-INDEX('Step 4 Stage Discharge'!E$26:F$126,MATCH(C169,'Step 4 Stage Discharge'!E$26:E$126,1),2))*(C169-INDEX('Step 4 Stage Discharge'!E$26:F$126,MATCH(C169,'Step 4 Stage Discharge'!E$26:E$126,1),1))/(INDEX('Step 4 Stage Discharge'!E$26:F$126,MATCH(C169,'Step 4 Stage Discharge'!E$26:E$126,1)+1,1)-INDEX('Step 4 Stage Discharge'!E$26:F$126,MATCH(C169,'Step 4 Stage Discharge'!E$26:E$126,1),1))</f>
        <v>0</v>
      </c>
      <c r="E169" s="219">
        <f>INDEX('Step 4 Stage Discharge'!E$26:M$126,MATCH(C169,'Step 4 Stage Discharge'!E$26:E$126,1),9)+(INDEX('Step 4 Stage Discharge'!E$26:M$126,MATCH('Step 6 Quality Check'!C169,'Step 4 Stage Discharge'!E$26:E$126,1)+1,9)-INDEX('Step 4 Stage Discharge'!E$26:M$126,MATCH('Step 6 Quality Check'!C169,'Step 4 Stage Discharge'!E$26:E$126,1),9))*('Step 6 Quality Check'!C169-INDEX('Step 4 Stage Discharge'!E$26:M$126,MATCH('Step 6 Quality Check'!C169,'Step 4 Stage Discharge'!E$26:E$126,1),1))/(INDEX('Step 4 Stage Discharge'!E$26:M$126,MATCH('Step 6 Quality Check'!C169,'Step 4 Stage Discharge'!E$26:E$126,1)+1,1)-INDEX('Step 4 Stage Discharge'!E$26:M$126,MATCH('Step 6 Quality Check'!C169,'Step 4 Stage Discharge'!E$26:E$126,1),1))</f>
        <v>4.3639431710317386E-3</v>
      </c>
      <c r="F169" s="218">
        <f t="shared" si="10"/>
        <v>0</v>
      </c>
      <c r="G169" s="218">
        <f t="shared" si="11"/>
        <v>0</v>
      </c>
    </row>
    <row r="170" spans="1:7">
      <c r="A170" s="217">
        <f t="shared" si="12"/>
        <v>770</v>
      </c>
      <c r="B170" s="216">
        <f t="shared" si="13"/>
        <v>99.1</v>
      </c>
      <c r="C170" s="218">
        <f t="shared" si="14"/>
        <v>0</v>
      </c>
      <c r="D170" s="219">
        <f>INDEX('Step 4 Stage Discharge'!E$26:F$126,MATCH(C170,'Step 4 Stage Discharge'!E$26:E$126,1),2)+(INDEX('Step 4 Stage Discharge'!E$26:F$126,MATCH(C170,'Step 4 Stage Discharge'!E$26:E$126,1)+1,2)-INDEX('Step 4 Stage Discharge'!E$26:F$126,MATCH(C170,'Step 4 Stage Discharge'!E$26:E$126,1),2))*(C170-INDEX('Step 4 Stage Discharge'!E$26:F$126,MATCH(C170,'Step 4 Stage Discharge'!E$26:E$126,1),1))/(INDEX('Step 4 Stage Discharge'!E$26:F$126,MATCH(C170,'Step 4 Stage Discharge'!E$26:E$126,1)+1,1)-INDEX('Step 4 Stage Discharge'!E$26:F$126,MATCH(C170,'Step 4 Stage Discharge'!E$26:E$126,1),1))</f>
        <v>0</v>
      </c>
      <c r="E170" s="219">
        <f>INDEX('Step 4 Stage Discharge'!E$26:M$126,MATCH(C170,'Step 4 Stage Discharge'!E$26:E$126,1),9)+(INDEX('Step 4 Stage Discharge'!E$26:M$126,MATCH('Step 6 Quality Check'!C170,'Step 4 Stage Discharge'!E$26:E$126,1)+1,9)-INDEX('Step 4 Stage Discharge'!E$26:M$126,MATCH('Step 6 Quality Check'!C170,'Step 4 Stage Discharge'!E$26:E$126,1),9))*('Step 6 Quality Check'!C170-INDEX('Step 4 Stage Discharge'!E$26:M$126,MATCH('Step 6 Quality Check'!C170,'Step 4 Stage Discharge'!E$26:E$126,1),1))/(INDEX('Step 4 Stage Discharge'!E$26:M$126,MATCH('Step 6 Quality Check'!C170,'Step 4 Stage Discharge'!E$26:E$126,1)+1,1)-INDEX('Step 4 Stage Discharge'!E$26:M$126,MATCH('Step 6 Quality Check'!C170,'Step 4 Stage Discharge'!E$26:E$126,1),1))</f>
        <v>4.3639431710317386E-3</v>
      </c>
      <c r="F170" s="218">
        <f t="shared" si="10"/>
        <v>0</v>
      </c>
      <c r="G170" s="218">
        <f t="shared" si="11"/>
        <v>0</v>
      </c>
    </row>
    <row r="171" spans="1:7">
      <c r="A171" s="217">
        <f t="shared" si="12"/>
        <v>775</v>
      </c>
      <c r="B171" s="216">
        <f t="shared" si="13"/>
        <v>99.1</v>
      </c>
      <c r="C171" s="218">
        <f t="shared" si="14"/>
        <v>0</v>
      </c>
      <c r="D171" s="219">
        <f>INDEX('Step 4 Stage Discharge'!E$26:F$126,MATCH(C171,'Step 4 Stage Discharge'!E$26:E$126,1),2)+(INDEX('Step 4 Stage Discharge'!E$26:F$126,MATCH(C171,'Step 4 Stage Discharge'!E$26:E$126,1)+1,2)-INDEX('Step 4 Stage Discharge'!E$26:F$126,MATCH(C171,'Step 4 Stage Discharge'!E$26:E$126,1),2))*(C171-INDEX('Step 4 Stage Discharge'!E$26:F$126,MATCH(C171,'Step 4 Stage Discharge'!E$26:E$126,1),1))/(INDEX('Step 4 Stage Discharge'!E$26:F$126,MATCH(C171,'Step 4 Stage Discharge'!E$26:E$126,1)+1,1)-INDEX('Step 4 Stage Discharge'!E$26:F$126,MATCH(C171,'Step 4 Stage Discharge'!E$26:E$126,1),1))</f>
        <v>0</v>
      </c>
      <c r="E171" s="219">
        <f>INDEX('Step 4 Stage Discharge'!E$26:M$126,MATCH(C171,'Step 4 Stage Discharge'!E$26:E$126,1),9)+(INDEX('Step 4 Stage Discharge'!E$26:M$126,MATCH('Step 6 Quality Check'!C171,'Step 4 Stage Discharge'!E$26:E$126,1)+1,9)-INDEX('Step 4 Stage Discharge'!E$26:M$126,MATCH('Step 6 Quality Check'!C171,'Step 4 Stage Discharge'!E$26:E$126,1),9))*('Step 6 Quality Check'!C171-INDEX('Step 4 Stage Discharge'!E$26:M$126,MATCH('Step 6 Quality Check'!C171,'Step 4 Stage Discharge'!E$26:E$126,1),1))/(INDEX('Step 4 Stage Discharge'!E$26:M$126,MATCH('Step 6 Quality Check'!C171,'Step 4 Stage Discharge'!E$26:E$126,1)+1,1)-INDEX('Step 4 Stage Discharge'!E$26:M$126,MATCH('Step 6 Quality Check'!C171,'Step 4 Stage Discharge'!E$26:E$126,1),1))</f>
        <v>4.3639431710317386E-3</v>
      </c>
      <c r="F171" s="218">
        <f t="shared" si="10"/>
        <v>0</v>
      </c>
      <c r="G171" s="218">
        <f t="shared" si="11"/>
        <v>0</v>
      </c>
    </row>
    <row r="172" spans="1:7">
      <c r="A172" s="217">
        <f t="shared" si="12"/>
        <v>780</v>
      </c>
      <c r="B172" s="216">
        <f t="shared" si="13"/>
        <v>99.1</v>
      </c>
      <c r="C172" s="218">
        <f t="shared" si="14"/>
        <v>0</v>
      </c>
      <c r="D172" s="219">
        <f>INDEX('Step 4 Stage Discharge'!E$26:F$126,MATCH(C172,'Step 4 Stage Discharge'!E$26:E$126,1),2)+(INDEX('Step 4 Stage Discharge'!E$26:F$126,MATCH(C172,'Step 4 Stage Discharge'!E$26:E$126,1)+1,2)-INDEX('Step 4 Stage Discharge'!E$26:F$126,MATCH(C172,'Step 4 Stage Discharge'!E$26:E$126,1),2))*(C172-INDEX('Step 4 Stage Discharge'!E$26:F$126,MATCH(C172,'Step 4 Stage Discharge'!E$26:E$126,1),1))/(INDEX('Step 4 Stage Discharge'!E$26:F$126,MATCH(C172,'Step 4 Stage Discharge'!E$26:E$126,1)+1,1)-INDEX('Step 4 Stage Discharge'!E$26:F$126,MATCH(C172,'Step 4 Stage Discharge'!E$26:E$126,1),1))</f>
        <v>0</v>
      </c>
      <c r="E172" s="219">
        <f>INDEX('Step 4 Stage Discharge'!E$26:M$126,MATCH(C172,'Step 4 Stage Discharge'!E$26:E$126,1),9)+(INDEX('Step 4 Stage Discharge'!E$26:M$126,MATCH('Step 6 Quality Check'!C172,'Step 4 Stage Discharge'!E$26:E$126,1)+1,9)-INDEX('Step 4 Stage Discharge'!E$26:M$126,MATCH('Step 6 Quality Check'!C172,'Step 4 Stage Discharge'!E$26:E$126,1),9))*('Step 6 Quality Check'!C172-INDEX('Step 4 Stage Discharge'!E$26:M$126,MATCH('Step 6 Quality Check'!C172,'Step 4 Stage Discharge'!E$26:E$126,1),1))/(INDEX('Step 4 Stage Discharge'!E$26:M$126,MATCH('Step 6 Quality Check'!C172,'Step 4 Stage Discharge'!E$26:E$126,1)+1,1)-INDEX('Step 4 Stage Discharge'!E$26:M$126,MATCH('Step 6 Quality Check'!C172,'Step 4 Stage Discharge'!E$26:E$126,1),1))</f>
        <v>4.3639431710317386E-3</v>
      </c>
      <c r="F172" s="218">
        <f t="shared" si="10"/>
        <v>0</v>
      </c>
      <c r="G172" s="218">
        <f t="shared" si="11"/>
        <v>0</v>
      </c>
    </row>
    <row r="173" spans="1:7">
      <c r="A173" s="217">
        <f t="shared" si="12"/>
        <v>785</v>
      </c>
      <c r="B173" s="216">
        <f t="shared" si="13"/>
        <v>99.1</v>
      </c>
      <c r="C173" s="218">
        <f t="shared" si="14"/>
        <v>0</v>
      </c>
      <c r="D173" s="219">
        <f>INDEX('Step 4 Stage Discharge'!E$26:F$126,MATCH(C173,'Step 4 Stage Discharge'!E$26:E$126,1),2)+(INDEX('Step 4 Stage Discharge'!E$26:F$126,MATCH(C173,'Step 4 Stage Discharge'!E$26:E$126,1)+1,2)-INDEX('Step 4 Stage Discharge'!E$26:F$126,MATCH(C173,'Step 4 Stage Discharge'!E$26:E$126,1),2))*(C173-INDEX('Step 4 Stage Discharge'!E$26:F$126,MATCH(C173,'Step 4 Stage Discharge'!E$26:E$126,1),1))/(INDEX('Step 4 Stage Discharge'!E$26:F$126,MATCH(C173,'Step 4 Stage Discharge'!E$26:E$126,1)+1,1)-INDEX('Step 4 Stage Discharge'!E$26:F$126,MATCH(C173,'Step 4 Stage Discharge'!E$26:E$126,1),1))</f>
        <v>0</v>
      </c>
      <c r="E173" s="219">
        <f>INDEX('Step 4 Stage Discharge'!E$26:M$126,MATCH(C173,'Step 4 Stage Discharge'!E$26:E$126,1),9)+(INDEX('Step 4 Stage Discharge'!E$26:M$126,MATCH('Step 6 Quality Check'!C173,'Step 4 Stage Discharge'!E$26:E$126,1)+1,9)-INDEX('Step 4 Stage Discharge'!E$26:M$126,MATCH('Step 6 Quality Check'!C173,'Step 4 Stage Discharge'!E$26:E$126,1),9))*('Step 6 Quality Check'!C173-INDEX('Step 4 Stage Discharge'!E$26:M$126,MATCH('Step 6 Quality Check'!C173,'Step 4 Stage Discharge'!E$26:E$126,1),1))/(INDEX('Step 4 Stage Discharge'!E$26:M$126,MATCH('Step 6 Quality Check'!C173,'Step 4 Stage Discharge'!E$26:E$126,1)+1,1)-INDEX('Step 4 Stage Discharge'!E$26:M$126,MATCH('Step 6 Quality Check'!C173,'Step 4 Stage Discharge'!E$26:E$126,1),1))</f>
        <v>4.3639431710317386E-3</v>
      </c>
      <c r="F173" s="218">
        <f t="shared" si="10"/>
        <v>0</v>
      </c>
      <c r="G173" s="218">
        <f t="shared" si="11"/>
        <v>0</v>
      </c>
    </row>
    <row r="174" spans="1:7">
      <c r="A174" s="217">
        <f t="shared" si="12"/>
        <v>790</v>
      </c>
      <c r="B174" s="216">
        <f t="shared" si="13"/>
        <v>99.1</v>
      </c>
      <c r="C174" s="218">
        <f t="shared" si="14"/>
        <v>0</v>
      </c>
      <c r="D174" s="219">
        <f>INDEX('Step 4 Stage Discharge'!E$26:F$126,MATCH(C174,'Step 4 Stage Discharge'!E$26:E$126,1),2)+(INDEX('Step 4 Stage Discharge'!E$26:F$126,MATCH(C174,'Step 4 Stage Discharge'!E$26:E$126,1)+1,2)-INDEX('Step 4 Stage Discharge'!E$26:F$126,MATCH(C174,'Step 4 Stage Discharge'!E$26:E$126,1),2))*(C174-INDEX('Step 4 Stage Discharge'!E$26:F$126,MATCH(C174,'Step 4 Stage Discharge'!E$26:E$126,1),1))/(INDEX('Step 4 Stage Discharge'!E$26:F$126,MATCH(C174,'Step 4 Stage Discharge'!E$26:E$126,1)+1,1)-INDEX('Step 4 Stage Discharge'!E$26:F$126,MATCH(C174,'Step 4 Stage Discharge'!E$26:E$126,1),1))</f>
        <v>0</v>
      </c>
      <c r="E174" s="219">
        <f>INDEX('Step 4 Stage Discharge'!E$26:M$126,MATCH(C174,'Step 4 Stage Discharge'!E$26:E$126,1),9)+(INDEX('Step 4 Stage Discharge'!E$26:M$126,MATCH('Step 6 Quality Check'!C174,'Step 4 Stage Discharge'!E$26:E$126,1)+1,9)-INDEX('Step 4 Stage Discharge'!E$26:M$126,MATCH('Step 6 Quality Check'!C174,'Step 4 Stage Discharge'!E$26:E$126,1),9))*('Step 6 Quality Check'!C174-INDEX('Step 4 Stage Discharge'!E$26:M$126,MATCH('Step 6 Quality Check'!C174,'Step 4 Stage Discharge'!E$26:E$126,1),1))/(INDEX('Step 4 Stage Discharge'!E$26:M$126,MATCH('Step 6 Quality Check'!C174,'Step 4 Stage Discharge'!E$26:E$126,1)+1,1)-INDEX('Step 4 Stage Discharge'!E$26:M$126,MATCH('Step 6 Quality Check'!C174,'Step 4 Stage Discharge'!E$26:E$126,1),1))</f>
        <v>4.3639431710317386E-3</v>
      </c>
      <c r="F174" s="218">
        <f t="shared" si="10"/>
        <v>0</v>
      </c>
      <c r="G174" s="218">
        <f t="shared" si="11"/>
        <v>0</v>
      </c>
    </row>
    <row r="175" spans="1:7">
      <c r="A175" s="217">
        <f t="shared" si="12"/>
        <v>795</v>
      </c>
      <c r="B175" s="216">
        <f t="shared" si="13"/>
        <v>99.1</v>
      </c>
      <c r="C175" s="218">
        <f t="shared" si="14"/>
        <v>0</v>
      </c>
      <c r="D175" s="219">
        <f>INDEX('Step 4 Stage Discharge'!E$26:F$126,MATCH(C175,'Step 4 Stage Discharge'!E$26:E$126,1),2)+(INDEX('Step 4 Stage Discharge'!E$26:F$126,MATCH(C175,'Step 4 Stage Discharge'!E$26:E$126,1)+1,2)-INDEX('Step 4 Stage Discharge'!E$26:F$126,MATCH(C175,'Step 4 Stage Discharge'!E$26:E$126,1),2))*(C175-INDEX('Step 4 Stage Discharge'!E$26:F$126,MATCH(C175,'Step 4 Stage Discharge'!E$26:E$126,1),1))/(INDEX('Step 4 Stage Discharge'!E$26:F$126,MATCH(C175,'Step 4 Stage Discharge'!E$26:E$126,1)+1,1)-INDEX('Step 4 Stage Discharge'!E$26:F$126,MATCH(C175,'Step 4 Stage Discharge'!E$26:E$126,1),1))</f>
        <v>0</v>
      </c>
      <c r="E175" s="219">
        <f>INDEX('Step 4 Stage Discharge'!E$26:M$126,MATCH(C175,'Step 4 Stage Discharge'!E$26:E$126,1),9)+(INDEX('Step 4 Stage Discharge'!E$26:M$126,MATCH('Step 6 Quality Check'!C175,'Step 4 Stage Discharge'!E$26:E$126,1)+1,9)-INDEX('Step 4 Stage Discharge'!E$26:M$126,MATCH('Step 6 Quality Check'!C175,'Step 4 Stage Discharge'!E$26:E$126,1),9))*('Step 6 Quality Check'!C175-INDEX('Step 4 Stage Discharge'!E$26:M$126,MATCH('Step 6 Quality Check'!C175,'Step 4 Stage Discharge'!E$26:E$126,1),1))/(INDEX('Step 4 Stage Discharge'!E$26:M$126,MATCH('Step 6 Quality Check'!C175,'Step 4 Stage Discharge'!E$26:E$126,1)+1,1)-INDEX('Step 4 Stage Discharge'!E$26:M$126,MATCH('Step 6 Quality Check'!C175,'Step 4 Stage Discharge'!E$26:E$126,1),1))</f>
        <v>4.3639431710317386E-3</v>
      </c>
      <c r="F175" s="218">
        <f t="shared" si="10"/>
        <v>0</v>
      </c>
      <c r="G175" s="218">
        <f t="shared" si="11"/>
        <v>0</v>
      </c>
    </row>
    <row r="176" spans="1:7">
      <c r="A176" s="217">
        <f t="shared" si="12"/>
        <v>800</v>
      </c>
      <c r="B176" s="216">
        <f t="shared" si="13"/>
        <v>99.1</v>
      </c>
      <c r="C176" s="218">
        <f t="shared" si="14"/>
        <v>0</v>
      </c>
      <c r="D176" s="219">
        <f>INDEX('Step 4 Stage Discharge'!E$26:F$126,MATCH(C176,'Step 4 Stage Discharge'!E$26:E$126,1),2)+(INDEX('Step 4 Stage Discharge'!E$26:F$126,MATCH(C176,'Step 4 Stage Discharge'!E$26:E$126,1)+1,2)-INDEX('Step 4 Stage Discharge'!E$26:F$126,MATCH(C176,'Step 4 Stage Discharge'!E$26:E$126,1),2))*(C176-INDEX('Step 4 Stage Discharge'!E$26:F$126,MATCH(C176,'Step 4 Stage Discharge'!E$26:E$126,1),1))/(INDEX('Step 4 Stage Discharge'!E$26:F$126,MATCH(C176,'Step 4 Stage Discharge'!E$26:E$126,1)+1,1)-INDEX('Step 4 Stage Discharge'!E$26:F$126,MATCH(C176,'Step 4 Stage Discharge'!E$26:E$126,1),1))</f>
        <v>0</v>
      </c>
      <c r="E176" s="219">
        <f>INDEX('Step 4 Stage Discharge'!E$26:M$126,MATCH(C176,'Step 4 Stage Discharge'!E$26:E$126,1),9)+(INDEX('Step 4 Stage Discharge'!E$26:M$126,MATCH('Step 6 Quality Check'!C176,'Step 4 Stage Discharge'!E$26:E$126,1)+1,9)-INDEX('Step 4 Stage Discharge'!E$26:M$126,MATCH('Step 6 Quality Check'!C176,'Step 4 Stage Discharge'!E$26:E$126,1),9))*('Step 6 Quality Check'!C176-INDEX('Step 4 Stage Discharge'!E$26:M$126,MATCH('Step 6 Quality Check'!C176,'Step 4 Stage Discharge'!E$26:E$126,1),1))/(INDEX('Step 4 Stage Discharge'!E$26:M$126,MATCH('Step 6 Quality Check'!C176,'Step 4 Stage Discharge'!E$26:E$126,1)+1,1)-INDEX('Step 4 Stage Discharge'!E$26:M$126,MATCH('Step 6 Quality Check'!C176,'Step 4 Stage Discharge'!E$26:E$126,1),1))</f>
        <v>4.3639431710317386E-3</v>
      </c>
      <c r="F176" s="218">
        <f t="shared" si="10"/>
        <v>0</v>
      </c>
      <c r="G176" s="218">
        <f t="shared" si="11"/>
        <v>0</v>
      </c>
    </row>
    <row r="177" spans="1:7">
      <c r="A177" s="217">
        <f t="shared" si="12"/>
        <v>805</v>
      </c>
      <c r="B177" s="216">
        <f t="shared" si="13"/>
        <v>99.1</v>
      </c>
      <c r="C177" s="218">
        <f t="shared" si="14"/>
        <v>0</v>
      </c>
      <c r="D177" s="219">
        <f>INDEX('Step 4 Stage Discharge'!E$26:F$126,MATCH(C177,'Step 4 Stage Discharge'!E$26:E$126,1),2)+(INDEX('Step 4 Stage Discharge'!E$26:F$126,MATCH(C177,'Step 4 Stage Discharge'!E$26:E$126,1)+1,2)-INDEX('Step 4 Stage Discharge'!E$26:F$126,MATCH(C177,'Step 4 Stage Discharge'!E$26:E$126,1),2))*(C177-INDEX('Step 4 Stage Discharge'!E$26:F$126,MATCH(C177,'Step 4 Stage Discharge'!E$26:E$126,1),1))/(INDEX('Step 4 Stage Discharge'!E$26:F$126,MATCH(C177,'Step 4 Stage Discharge'!E$26:E$126,1)+1,1)-INDEX('Step 4 Stage Discharge'!E$26:F$126,MATCH(C177,'Step 4 Stage Discharge'!E$26:E$126,1),1))</f>
        <v>0</v>
      </c>
      <c r="E177" s="219">
        <f>INDEX('Step 4 Stage Discharge'!E$26:M$126,MATCH(C177,'Step 4 Stage Discharge'!E$26:E$126,1),9)+(INDEX('Step 4 Stage Discharge'!E$26:M$126,MATCH('Step 6 Quality Check'!C177,'Step 4 Stage Discharge'!E$26:E$126,1)+1,9)-INDEX('Step 4 Stage Discharge'!E$26:M$126,MATCH('Step 6 Quality Check'!C177,'Step 4 Stage Discharge'!E$26:E$126,1),9))*('Step 6 Quality Check'!C177-INDEX('Step 4 Stage Discharge'!E$26:M$126,MATCH('Step 6 Quality Check'!C177,'Step 4 Stage Discharge'!E$26:E$126,1),1))/(INDEX('Step 4 Stage Discharge'!E$26:M$126,MATCH('Step 6 Quality Check'!C177,'Step 4 Stage Discharge'!E$26:E$126,1)+1,1)-INDEX('Step 4 Stage Discharge'!E$26:M$126,MATCH('Step 6 Quality Check'!C177,'Step 4 Stage Discharge'!E$26:E$126,1),1))</f>
        <v>4.3639431710317386E-3</v>
      </c>
      <c r="F177" s="218">
        <f t="shared" si="10"/>
        <v>0</v>
      </c>
      <c r="G177" s="218">
        <f t="shared" si="11"/>
        <v>0</v>
      </c>
    </row>
    <row r="178" spans="1:7">
      <c r="A178" s="217">
        <f t="shared" si="12"/>
        <v>810</v>
      </c>
      <c r="B178" s="216">
        <f t="shared" si="13"/>
        <v>99.1</v>
      </c>
      <c r="C178" s="218">
        <f t="shared" si="14"/>
        <v>0</v>
      </c>
      <c r="D178" s="219">
        <f>INDEX('Step 4 Stage Discharge'!E$26:F$126,MATCH(C178,'Step 4 Stage Discharge'!E$26:E$126,1),2)+(INDEX('Step 4 Stage Discharge'!E$26:F$126,MATCH(C178,'Step 4 Stage Discharge'!E$26:E$126,1)+1,2)-INDEX('Step 4 Stage Discharge'!E$26:F$126,MATCH(C178,'Step 4 Stage Discharge'!E$26:E$126,1),2))*(C178-INDEX('Step 4 Stage Discharge'!E$26:F$126,MATCH(C178,'Step 4 Stage Discharge'!E$26:E$126,1),1))/(INDEX('Step 4 Stage Discharge'!E$26:F$126,MATCH(C178,'Step 4 Stage Discharge'!E$26:E$126,1)+1,1)-INDEX('Step 4 Stage Discharge'!E$26:F$126,MATCH(C178,'Step 4 Stage Discharge'!E$26:E$126,1),1))</f>
        <v>0</v>
      </c>
      <c r="E178" s="219">
        <f>INDEX('Step 4 Stage Discharge'!E$26:M$126,MATCH(C178,'Step 4 Stage Discharge'!E$26:E$126,1),9)+(INDEX('Step 4 Stage Discharge'!E$26:M$126,MATCH('Step 6 Quality Check'!C178,'Step 4 Stage Discharge'!E$26:E$126,1)+1,9)-INDEX('Step 4 Stage Discharge'!E$26:M$126,MATCH('Step 6 Quality Check'!C178,'Step 4 Stage Discharge'!E$26:E$126,1),9))*('Step 6 Quality Check'!C178-INDEX('Step 4 Stage Discharge'!E$26:M$126,MATCH('Step 6 Quality Check'!C178,'Step 4 Stage Discharge'!E$26:E$126,1),1))/(INDEX('Step 4 Stage Discharge'!E$26:M$126,MATCH('Step 6 Quality Check'!C178,'Step 4 Stage Discharge'!E$26:E$126,1)+1,1)-INDEX('Step 4 Stage Discharge'!E$26:M$126,MATCH('Step 6 Quality Check'!C178,'Step 4 Stage Discharge'!E$26:E$126,1),1))</f>
        <v>4.3639431710317386E-3</v>
      </c>
      <c r="F178" s="218">
        <f t="shared" si="10"/>
        <v>0</v>
      </c>
      <c r="G178" s="218">
        <f t="shared" si="11"/>
        <v>0</v>
      </c>
    </row>
    <row r="179" spans="1:7">
      <c r="A179" s="217">
        <f t="shared" si="12"/>
        <v>815</v>
      </c>
      <c r="B179" s="216">
        <f t="shared" si="13"/>
        <v>99.1</v>
      </c>
      <c r="C179" s="218">
        <f t="shared" si="14"/>
        <v>0</v>
      </c>
      <c r="D179" s="219">
        <f>INDEX('Step 4 Stage Discharge'!E$26:F$126,MATCH(C179,'Step 4 Stage Discharge'!E$26:E$126,1),2)+(INDEX('Step 4 Stage Discharge'!E$26:F$126,MATCH(C179,'Step 4 Stage Discharge'!E$26:E$126,1)+1,2)-INDEX('Step 4 Stage Discharge'!E$26:F$126,MATCH(C179,'Step 4 Stage Discharge'!E$26:E$126,1),2))*(C179-INDEX('Step 4 Stage Discharge'!E$26:F$126,MATCH(C179,'Step 4 Stage Discharge'!E$26:E$126,1),1))/(INDEX('Step 4 Stage Discharge'!E$26:F$126,MATCH(C179,'Step 4 Stage Discharge'!E$26:E$126,1)+1,1)-INDEX('Step 4 Stage Discharge'!E$26:F$126,MATCH(C179,'Step 4 Stage Discharge'!E$26:E$126,1),1))</f>
        <v>0</v>
      </c>
      <c r="E179" s="219">
        <f>INDEX('Step 4 Stage Discharge'!E$26:M$126,MATCH(C179,'Step 4 Stage Discharge'!E$26:E$126,1),9)+(INDEX('Step 4 Stage Discharge'!E$26:M$126,MATCH('Step 6 Quality Check'!C179,'Step 4 Stage Discharge'!E$26:E$126,1)+1,9)-INDEX('Step 4 Stage Discharge'!E$26:M$126,MATCH('Step 6 Quality Check'!C179,'Step 4 Stage Discharge'!E$26:E$126,1),9))*('Step 6 Quality Check'!C179-INDEX('Step 4 Stage Discharge'!E$26:M$126,MATCH('Step 6 Quality Check'!C179,'Step 4 Stage Discharge'!E$26:E$126,1),1))/(INDEX('Step 4 Stage Discharge'!E$26:M$126,MATCH('Step 6 Quality Check'!C179,'Step 4 Stage Discharge'!E$26:E$126,1)+1,1)-INDEX('Step 4 Stage Discharge'!E$26:M$126,MATCH('Step 6 Quality Check'!C179,'Step 4 Stage Discharge'!E$26:E$126,1),1))</f>
        <v>4.3639431710317386E-3</v>
      </c>
      <c r="F179" s="218">
        <f t="shared" si="10"/>
        <v>0</v>
      </c>
      <c r="G179" s="218">
        <f t="shared" si="11"/>
        <v>0</v>
      </c>
    </row>
    <row r="180" spans="1:7">
      <c r="A180" s="217">
        <f t="shared" si="12"/>
        <v>820</v>
      </c>
      <c r="B180" s="216">
        <f t="shared" si="13"/>
        <v>99.1</v>
      </c>
      <c r="C180" s="218">
        <f t="shared" si="14"/>
        <v>0</v>
      </c>
      <c r="D180" s="219">
        <f>INDEX('Step 4 Stage Discharge'!E$26:F$126,MATCH(C180,'Step 4 Stage Discharge'!E$26:E$126,1),2)+(INDEX('Step 4 Stage Discharge'!E$26:F$126,MATCH(C180,'Step 4 Stage Discharge'!E$26:E$126,1)+1,2)-INDEX('Step 4 Stage Discharge'!E$26:F$126,MATCH(C180,'Step 4 Stage Discharge'!E$26:E$126,1),2))*(C180-INDEX('Step 4 Stage Discharge'!E$26:F$126,MATCH(C180,'Step 4 Stage Discharge'!E$26:E$126,1),1))/(INDEX('Step 4 Stage Discharge'!E$26:F$126,MATCH(C180,'Step 4 Stage Discharge'!E$26:E$126,1)+1,1)-INDEX('Step 4 Stage Discharge'!E$26:F$126,MATCH(C180,'Step 4 Stage Discharge'!E$26:E$126,1),1))</f>
        <v>0</v>
      </c>
      <c r="E180" s="219">
        <f>INDEX('Step 4 Stage Discharge'!E$26:M$126,MATCH(C180,'Step 4 Stage Discharge'!E$26:E$126,1),9)+(INDEX('Step 4 Stage Discharge'!E$26:M$126,MATCH('Step 6 Quality Check'!C180,'Step 4 Stage Discharge'!E$26:E$126,1)+1,9)-INDEX('Step 4 Stage Discharge'!E$26:M$126,MATCH('Step 6 Quality Check'!C180,'Step 4 Stage Discharge'!E$26:E$126,1),9))*('Step 6 Quality Check'!C180-INDEX('Step 4 Stage Discharge'!E$26:M$126,MATCH('Step 6 Quality Check'!C180,'Step 4 Stage Discharge'!E$26:E$126,1),1))/(INDEX('Step 4 Stage Discharge'!E$26:M$126,MATCH('Step 6 Quality Check'!C180,'Step 4 Stage Discharge'!E$26:E$126,1)+1,1)-INDEX('Step 4 Stage Discharge'!E$26:M$126,MATCH('Step 6 Quality Check'!C180,'Step 4 Stage Discharge'!E$26:E$126,1),1))</f>
        <v>4.3639431710317386E-3</v>
      </c>
      <c r="F180" s="218">
        <f t="shared" si="10"/>
        <v>0</v>
      </c>
      <c r="G180" s="218">
        <f t="shared" si="11"/>
        <v>0</v>
      </c>
    </row>
    <row r="181" spans="1:7">
      <c r="A181" s="217">
        <f t="shared" si="12"/>
        <v>825</v>
      </c>
      <c r="B181" s="216">
        <f t="shared" si="13"/>
        <v>99.1</v>
      </c>
      <c r="C181" s="218">
        <f t="shared" si="14"/>
        <v>0</v>
      </c>
      <c r="D181" s="219">
        <f>INDEX('Step 4 Stage Discharge'!E$26:F$126,MATCH(C181,'Step 4 Stage Discharge'!E$26:E$126,1),2)+(INDEX('Step 4 Stage Discharge'!E$26:F$126,MATCH(C181,'Step 4 Stage Discharge'!E$26:E$126,1)+1,2)-INDEX('Step 4 Stage Discharge'!E$26:F$126,MATCH(C181,'Step 4 Stage Discharge'!E$26:E$126,1),2))*(C181-INDEX('Step 4 Stage Discharge'!E$26:F$126,MATCH(C181,'Step 4 Stage Discharge'!E$26:E$126,1),1))/(INDEX('Step 4 Stage Discharge'!E$26:F$126,MATCH(C181,'Step 4 Stage Discharge'!E$26:E$126,1)+1,1)-INDEX('Step 4 Stage Discharge'!E$26:F$126,MATCH(C181,'Step 4 Stage Discharge'!E$26:E$126,1),1))</f>
        <v>0</v>
      </c>
      <c r="E181" s="219">
        <f>INDEX('Step 4 Stage Discharge'!E$26:M$126,MATCH(C181,'Step 4 Stage Discharge'!E$26:E$126,1),9)+(INDEX('Step 4 Stage Discharge'!E$26:M$126,MATCH('Step 6 Quality Check'!C181,'Step 4 Stage Discharge'!E$26:E$126,1)+1,9)-INDEX('Step 4 Stage Discharge'!E$26:M$126,MATCH('Step 6 Quality Check'!C181,'Step 4 Stage Discharge'!E$26:E$126,1),9))*('Step 6 Quality Check'!C181-INDEX('Step 4 Stage Discharge'!E$26:M$126,MATCH('Step 6 Quality Check'!C181,'Step 4 Stage Discharge'!E$26:E$126,1),1))/(INDEX('Step 4 Stage Discharge'!E$26:M$126,MATCH('Step 6 Quality Check'!C181,'Step 4 Stage Discharge'!E$26:E$126,1)+1,1)-INDEX('Step 4 Stage Discharge'!E$26:M$126,MATCH('Step 6 Quality Check'!C181,'Step 4 Stage Discharge'!E$26:E$126,1),1))</f>
        <v>4.3639431710317386E-3</v>
      </c>
      <c r="F181" s="218">
        <f t="shared" si="10"/>
        <v>0</v>
      </c>
      <c r="G181" s="218">
        <f t="shared" si="11"/>
        <v>0</v>
      </c>
    </row>
    <row r="182" spans="1:7">
      <c r="A182" s="217">
        <f t="shared" si="12"/>
        <v>830</v>
      </c>
      <c r="B182" s="216">
        <f t="shared" si="13"/>
        <v>99.1</v>
      </c>
      <c r="C182" s="218">
        <f t="shared" si="14"/>
        <v>0</v>
      </c>
      <c r="D182" s="219">
        <f>INDEX('Step 4 Stage Discharge'!E$26:F$126,MATCH(C182,'Step 4 Stage Discharge'!E$26:E$126,1),2)+(INDEX('Step 4 Stage Discharge'!E$26:F$126,MATCH(C182,'Step 4 Stage Discharge'!E$26:E$126,1)+1,2)-INDEX('Step 4 Stage Discharge'!E$26:F$126,MATCH(C182,'Step 4 Stage Discharge'!E$26:E$126,1),2))*(C182-INDEX('Step 4 Stage Discharge'!E$26:F$126,MATCH(C182,'Step 4 Stage Discharge'!E$26:E$126,1),1))/(INDEX('Step 4 Stage Discharge'!E$26:F$126,MATCH(C182,'Step 4 Stage Discharge'!E$26:E$126,1)+1,1)-INDEX('Step 4 Stage Discharge'!E$26:F$126,MATCH(C182,'Step 4 Stage Discharge'!E$26:E$126,1),1))</f>
        <v>0</v>
      </c>
      <c r="E182" s="219">
        <f>INDEX('Step 4 Stage Discharge'!E$26:M$126,MATCH(C182,'Step 4 Stage Discharge'!E$26:E$126,1),9)+(INDEX('Step 4 Stage Discharge'!E$26:M$126,MATCH('Step 6 Quality Check'!C182,'Step 4 Stage Discharge'!E$26:E$126,1)+1,9)-INDEX('Step 4 Stage Discharge'!E$26:M$126,MATCH('Step 6 Quality Check'!C182,'Step 4 Stage Discharge'!E$26:E$126,1),9))*('Step 6 Quality Check'!C182-INDEX('Step 4 Stage Discharge'!E$26:M$126,MATCH('Step 6 Quality Check'!C182,'Step 4 Stage Discharge'!E$26:E$126,1),1))/(INDEX('Step 4 Stage Discharge'!E$26:M$126,MATCH('Step 6 Quality Check'!C182,'Step 4 Stage Discharge'!E$26:E$126,1)+1,1)-INDEX('Step 4 Stage Discharge'!E$26:M$126,MATCH('Step 6 Quality Check'!C182,'Step 4 Stage Discharge'!E$26:E$126,1),1))</f>
        <v>4.3639431710317386E-3</v>
      </c>
      <c r="F182" s="218">
        <f t="shared" si="10"/>
        <v>0</v>
      </c>
      <c r="G182" s="218">
        <f t="shared" si="11"/>
        <v>0</v>
      </c>
    </row>
    <row r="183" spans="1:7">
      <c r="A183" s="217">
        <f t="shared" si="12"/>
        <v>835</v>
      </c>
      <c r="B183" s="216">
        <f t="shared" si="13"/>
        <v>99.1</v>
      </c>
      <c r="C183" s="218">
        <f t="shared" si="14"/>
        <v>0</v>
      </c>
      <c r="D183" s="219">
        <f>INDEX('Step 4 Stage Discharge'!E$26:F$126,MATCH(C183,'Step 4 Stage Discharge'!E$26:E$126,1),2)+(INDEX('Step 4 Stage Discharge'!E$26:F$126,MATCH(C183,'Step 4 Stage Discharge'!E$26:E$126,1)+1,2)-INDEX('Step 4 Stage Discharge'!E$26:F$126,MATCH(C183,'Step 4 Stage Discharge'!E$26:E$126,1),2))*(C183-INDEX('Step 4 Stage Discharge'!E$26:F$126,MATCH(C183,'Step 4 Stage Discharge'!E$26:E$126,1),1))/(INDEX('Step 4 Stage Discharge'!E$26:F$126,MATCH(C183,'Step 4 Stage Discharge'!E$26:E$126,1)+1,1)-INDEX('Step 4 Stage Discharge'!E$26:F$126,MATCH(C183,'Step 4 Stage Discharge'!E$26:E$126,1),1))</f>
        <v>0</v>
      </c>
      <c r="E183" s="219">
        <f>INDEX('Step 4 Stage Discharge'!E$26:M$126,MATCH(C183,'Step 4 Stage Discharge'!E$26:E$126,1),9)+(INDEX('Step 4 Stage Discharge'!E$26:M$126,MATCH('Step 6 Quality Check'!C183,'Step 4 Stage Discharge'!E$26:E$126,1)+1,9)-INDEX('Step 4 Stage Discharge'!E$26:M$126,MATCH('Step 6 Quality Check'!C183,'Step 4 Stage Discharge'!E$26:E$126,1),9))*('Step 6 Quality Check'!C183-INDEX('Step 4 Stage Discharge'!E$26:M$126,MATCH('Step 6 Quality Check'!C183,'Step 4 Stage Discharge'!E$26:E$126,1),1))/(INDEX('Step 4 Stage Discharge'!E$26:M$126,MATCH('Step 6 Quality Check'!C183,'Step 4 Stage Discharge'!E$26:E$126,1)+1,1)-INDEX('Step 4 Stage Discharge'!E$26:M$126,MATCH('Step 6 Quality Check'!C183,'Step 4 Stage Discharge'!E$26:E$126,1),1))</f>
        <v>4.3639431710317386E-3</v>
      </c>
      <c r="F183" s="218">
        <f t="shared" si="10"/>
        <v>0</v>
      </c>
      <c r="G183" s="218">
        <f t="shared" si="11"/>
        <v>0</v>
      </c>
    </row>
    <row r="184" spans="1:7">
      <c r="A184" s="217">
        <f t="shared" si="12"/>
        <v>840</v>
      </c>
      <c r="B184" s="216">
        <f t="shared" si="13"/>
        <v>99.1</v>
      </c>
      <c r="C184" s="218">
        <f t="shared" si="14"/>
        <v>0</v>
      </c>
      <c r="D184" s="219">
        <f>INDEX('Step 4 Stage Discharge'!E$26:F$126,MATCH(C184,'Step 4 Stage Discharge'!E$26:E$126,1),2)+(INDEX('Step 4 Stage Discharge'!E$26:F$126,MATCH(C184,'Step 4 Stage Discharge'!E$26:E$126,1)+1,2)-INDEX('Step 4 Stage Discharge'!E$26:F$126,MATCH(C184,'Step 4 Stage Discharge'!E$26:E$126,1),2))*(C184-INDEX('Step 4 Stage Discharge'!E$26:F$126,MATCH(C184,'Step 4 Stage Discharge'!E$26:E$126,1),1))/(INDEX('Step 4 Stage Discharge'!E$26:F$126,MATCH(C184,'Step 4 Stage Discharge'!E$26:E$126,1)+1,1)-INDEX('Step 4 Stage Discharge'!E$26:F$126,MATCH(C184,'Step 4 Stage Discharge'!E$26:E$126,1),1))</f>
        <v>0</v>
      </c>
      <c r="E184" s="219">
        <f>INDEX('Step 4 Stage Discharge'!E$26:M$126,MATCH(C184,'Step 4 Stage Discharge'!E$26:E$126,1),9)+(INDEX('Step 4 Stage Discharge'!E$26:M$126,MATCH('Step 6 Quality Check'!C184,'Step 4 Stage Discharge'!E$26:E$126,1)+1,9)-INDEX('Step 4 Stage Discharge'!E$26:M$126,MATCH('Step 6 Quality Check'!C184,'Step 4 Stage Discharge'!E$26:E$126,1),9))*('Step 6 Quality Check'!C184-INDEX('Step 4 Stage Discharge'!E$26:M$126,MATCH('Step 6 Quality Check'!C184,'Step 4 Stage Discharge'!E$26:E$126,1),1))/(INDEX('Step 4 Stage Discharge'!E$26:M$126,MATCH('Step 6 Quality Check'!C184,'Step 4 Stage Discharge'!E$26:E$126,1)+1,1)-INDEX('Step 4 Stage Discharge'!E$26:M$126,MATCH('Step 6 Quality Check'!C184,'Step 4 Stage Discharge'!E$26:E$126,1),1))</f>
        <v>4.3639431710317386E-3</v>
      </c>
      <c r="F184" s="218">
        <f t="shared" si="10"/>
        <v>0</v>
      </c>
      <c r="G184" s="218">
        <f t="shared" si="11"/>
        <v>0</v>
      </c>
    </row>
    <row r="185" spans="1:7">
      <c r="A185" s="217">
        <f t="shared" si="12"/>
        <v>845</v>
      </c>
      <c r="B185" s="216">
        <f t="shared" si="13"/>
        <v>99.1</v>
      </c>
      <c r="C185" s="218">
        <f t="shared" si="14"/>
        <v>0</v>
      </c>
      <c r="D185" s="219">
        <f>INDEX('Step 4 Stage Discharge'!E$26:F$126,MATCH(C185,'Step 4 Stage Discharge'!E$26:E$126,1),2)+(INDEX('Step 4 Stage Discharge'!E$26:F$126,MATCH(C185,'Step 4 Stage Discharge'!E$26:E$126,1)+1,2)-INDEX('Step 4 Stage Discharge'!E$26:F$126,MATCH(C185,'Step 4 Stage Discharge'!E$26:E$126,1),2))*(C185-INDEX('Step 4 Stage Discharge'!E$26:F$126,MATCH(C185,'Step 4 Stage Discharge'!E$26:E$126,1),1))/(INDEX('Step 4 Stage Discharge'!E$26:F$126,MATCH(C185,'Step 4 Stage Discharge'!E$26:E$126,1)+1,1)-INDEX('Step 4 Stage Discharge'!E$26:F$126,MATCH(C185,'Step 4 Stage Discharge'!E$26:E$126,1),1))</f>
        <v>0</v>
      </c>
      <c r="E185" s="219">
        <f>INDEX('Step 4 Stage Discharge'!E$26:M$126,MATCH(C185,'Step 4 Stage Discharge'!E$26:E$126,1),9)+(INDEX('Step 4 Stage Discharge'!E$26:M$126,MATCH('Step 6 Quality Check'!C185,'Step 4 Stage Discharge'!E$26:E$126,1)+1,9)-INDEX('Step 4 Stage Discharge'!E$26:M$126,MATCH('Step 6 Quality Check'!C185,'Step 4 Stage Discharge'!E$26:E$126,1),9))*('Step 6 Quality Check'!C185-INDEX('Step 4 Stage Discharge'!E$26:M$126,MATCH('Step 6 Quality Check'!C185,'Step 4 Stage Discharge'!E$26:E$126,1),1))/(INDEX('Step 4 Stage Discharge'!E$26:M$126,MATCH('Step 6 Quality Check'!C185,'Step 4 Stage Discharge'!E$26:E$126,1)+1,1)-INDEX('Step 4 Stage Discharge'!E$26:M$126,MATCH('Step 6 Quality Check'!C185,'Step 4 Stage Discharge'!E$26:E$126,1),1))</f>
        <v>4.3639431710317386E-3</v>
      </c>
      <c r="F185" s="218">
        <f t="shared" si="10"/>
        <v>0</v>
      </c>
      <c r="G185" s="218">
        <f t="shared" si="11"/>
        <v>0</v>
      </c>
    </row>
    <row r="186" spans="1:7">
      <c r="A186" s="217">
        <f t="shared" si="12"/>
        <v>850</v>
      </c>
      <c r="B186" s="216">
        <f t="shared" si="13"/>
        <v>99.1</v>
      </c>
      <c r="C186" s="218">
        <f t="shared" si="14"/>
        <v>0</v>
      </c>
      <c r="D186" s="219">
        <f>INDEX('Step 4 Stage Discharge'!E$26:F$126,MATCH(C186,'Step 4 Stage Discharge'!E$26:E$126,1),2)+(INDEX('Step 4 Stage Discharge'!E$26:F$126,MATCH(C186,'Step 4 Stage Discharge'!E$26:E$126,1)+1,2)-INDEX('Step 4 Stage Discharge'!E$26:F$126,MATCH(C186,'Step 4 Stage Discharge'!E$26:E$126,1),2))*(C186-INDEX('Step 4 Stage Discharge'!E$26:F$126,MATCH(C186,'Step 4 Stage Discharge'!E$26:E$126,1),1))/(INDEX('Step 4 Stage Discharge'!E$26:F$126,MATCH(C186,'Step 4 Stage Discharge'!E$26:E$126,1)+1,1)-INDEX('Step 4 Stage Discharge'!E$26:F$126,MATCH(C186,'Step 4 Stage Discharge'!E$26:E$126,1),1))</f>
        <v>0</v>
      </c>
      <c r="E186" s="219">
        <f>INDEX('Step 4 Stage Discharge'!E$26:M$126,MATCH(C186,'Step 4 Stage Discharge'!E$26:E$126,1),9)+(INDEX('Step 4 Stage Discharge'!E$26:M$126,MATCH('Step 6 Quality Check'!C186,'Step 4 Stage Discharge'!E$26:E$126,1)+1,9)-INDEX('Step 4 Stage Discharge'!E$26:M$126,MATCH('Step 6 Quality Check'!C186,'Step 4 Stage Discharge'!E$26:E$126,1),9))*('Step 6 Quality Check'!C186-INDEX('Step 4 Stage Discharge'!E$26:M$126,MATCH('Step 6 Quality Check'!C186,'Step 4 Stage Discharge'!E$26:E$126,1),1))/(INDEX('Step 4 Stage Discharge'!E$26:M$126,MATCH('Step 6 Quality Check'!C186,'Step 4 Stage Discharge'!E$26:E$126,1)+1,1)-INDEX('Step 4 Stage Discharge'!E$26:M$126,MATCH('Step 6 Quality Check'!C186,'Step 4 Stage Discharge'!E$26:E$126,1),1))</f>
        <v>4.3639431710317386E-3</v>
      </c>
      <c r="F186" s="218">
        <f t="shared" si="10"/>
        <v>0</v>
      </c>
      <c r="G186" s="218">
        <f t="shared" si="11"/>
        <v>0</v>
      </c>
    </row>
    <row r="187" spans="1:7">
      <c r="A187" s="217">
        <f t="shared" si="12"/>
        <v>855</v>
      </c>
      <c r="B187" s="216">
        <f t="shared" si="13"/>
        <v>99.1</v>
      </c>
      <c r="C187" s="218">
        <f t="shared" si="14"/>
        <v>0</v>
      </c>
      <c r="D187" s="219">
        <f>INDEX('Step 4 Stage Discharge'!E$26:F$126,MATCH(C187,'Step 4 Stage Discharge'!E$26:E$126,1),2)+(INDEX('Step 4 Stage Discharge'!E$26:F$126,MATCH(C187,'Step 4 Stage Discharge'!E$26:E$126,1)+1,2)-INDEX('Step 4 Stage Discharge'!E$26:F$126,MATCH(C187,'Step 4 Stage Discharge'!E$26:E$126,1),2))*(C187-INDEX('Step 4 Stage Discharge'!E$26:F$126,MATCH(C187,'Step 4 Stage Discharge'!E$26:E$126,1),1))/(INDEX('Step 4 Stage Discharge'!E$26:F$126,MATCH(C187,'Step 4 Stage Discharge'!E$26:E$126,1)+1,1)-INDEX('Step 4 Stage Discharge'!E$26:F$126,MATCH(C187,'Step 4 Stage Discharge'!E$26:E$126,1),1))</f>
        <v>0</v>
      </c>
      <c r="E187" s="219">
        <f>INDEX('Step 4 Stage Discharge'!E$26:M$126,MATCH(C187,'Step 4 Stage Discharge'!E$26:E$126,1),9)+(INDEX('Step 4 Stage Discharge'!E$26:M$126,MATCH('Step 6 Quality Check'!C187,'Step 4 Stage Discharge'!E$26:E$126,1)+1,9)-INDEX('Step 4 Stage Discharge'!E$26:M$126,MATCH('Step 6 Quality Check'!C187,'Step 4 Stage Discharge'!E$26:E$126,1),9))*('Step 6 Quality Check'!C187-INDEX('Step 4 Stage Discharge'!E$26:M$126,MATCH('Step 6 Quality Check'!C187,'Step 4 Stage Discharge'!E$26:E$126,1),1))/(INDEX('Step 4 Stage Discharge'!E$26:M$126,MATCH('Step 6 Quality Check'!C187,'Step 4 Stage Discharge'!E$26:E$126,1)+1,1)-INDEX('Step 4 Stage Discharge'!E$26:M$126,MATCH('Step 6 Quality Check'!C187,'Step 4 Stage Discharge'!E$26:E$126,1),1))</f>
        <v>4.3639431710317386E-3</v>
      </c>
      <c r="F187" s="218">
        <f t="shared" si="10"/>
        <v>0</v>
      </c>
      <c r="G187" s="218">
        <f t="shared" si="11"/>
        <v>0</v>
      </c>
    </row>
    <row r="188" spans="1:7">
      <c r="A188" s="217">
        <f t="shared" si="12"/>
        <v>860</v>
      </c>
      <c r="B188" s="216">
        <f t="shared" si="13"/>
        <v>99.1</v>
      </c>
      <c r="C188" s="218">
        <f t="shared" si="14"/>
        <v>0</v>
      </c>
      <c r="D188" s="219">
        <f>INDEX('Step 4 Stage Discharge'!E$26:F$126,MATCH(C188,'Step 4 Stage Discharge'!E$26:E$126,1),2)+(INDEX('Step 4 Stage Discharge'!E$26:F$126,MATCH(C188,'Step 4 Stage Discharge'!E$26:E$126,1)+1,2)-INDEX('Step 4 Stage Discharge'!E$26:F$126,MATCH(C188,'Step 4 Stage Discharge'!E$26:E$126,1),2))*(C188-INDEX('Step 4 Stage Discharge'!E$26:F$126,MATCH(C188,'Step 4 Stage Discharge'!E$26:E$126,1),1))/(INDEX('Step 4 Stage Discharge'!E$26:F$126,MATCH(C188,'Step 4 Stage Discharge'!E$26:E$126,1)+1,1)-INDEX('Step 4 Stage Discharge'!E$26:F$126,MATCH(C188,'Step 4 Stage Discharge'!E$26:E$126,1),1))</f>
        <v>0</v>
      </c>
      <c r="E188" s="219">
        <f>INDEX('Step 4 Stage Discharge'!E$26:M$126,MATCH(C188,'Step 4 Stage Discharge'!E$26:E$126,1),9)+(INDEX('Step 4 Stage Discharge'!E$26:M$126,MATCH('Step 6 Quality Check'!C188,'Step 4 Stage Discharge'!E$26:E$126,1)+1,9)-INDEX('Step 4 Stage Discharge'!E$26:M$126,MATCH('Step 6 Quality Check'!C188,'Step 4 Stage Discharge'!E$26:E$126,1),9))*('Step 6 Quality Check'!C188-INDEX('Step 4 Stage Discharge'!E$26:M$126,MATCH('Step 6 Quality Check'!C188,'Step 4 Stage Discharge'!E$26:E$126,1),1))/(INDEX('Step 4 Stage Discharge'!E$26:M$126,MATCH('Step 6 Quality Check'!C188,'Step 4 Stage Discharge'!E$26:E$126,1)+1,1)-INDEX('Step 4 Stage Discharge'!E$26:M$126,MATCH('Step 6 Quality Check'!C188,'Step 4 Stage Discharge'!E$26:E$126,1),1))</f>
        <v>4.3639431710317386E-3</v>
      </c>
      <c r="F188" s="218">
        <f t="shared" si="10"/>
        <v>0</v>
      </c>
      <c r="G188" s="218">
        <f t="shared" si="11"/>
        <v>0</v>
      </c>
    </row>
    <row r="189" spans="1:7">
      <c r="A189" s="217">
        <f t="shared" si="12"/>
        <v>865</v>
      </c>
      <c r="B189" s="216">
        <f t="shared" si="13"/>
        <v>99.1</v>
      </c>
      <c r="C189" s="218">
        <f t="shared" si="14"/>
        <v>0</v>
      </c>
      <c r="D189" s="219">
        <f>INDEX('Step 4 Stage Discharge'!E$26:F$126,MATCH(C189,'Step 4 Stage Discharge'!E$26:E$126,1),2)+(INDEX('Step 4 Stage Discharge'!E$26:F$126,MATCH(C189,'Step 4 Stage Discharge'!E$26:E$126,1)+1,2)-INDEX('Step 4 Stage Discharge'!E$26:F$126,MATCH(C189,'Step 4 Stage Discharge'!E$26:E$126,1),2))*(C189-INDEX('Step 4 Stage Discharge'!E$26:F$126,MATCH(C189,'Step 4 Stage Discharge'!E$26:E$126,1),1))/(INDEX('Step 4 Stage Discharge'!E$26:F$126,MATCH(C189,'Step 4 Stage Discharge'!E$26:E$126,1)+1,1)-INDEX('Step 4 Stage Discharge'!E$26:F$126,MATCH(C189,'Step 4 Stage Discharge'!E$26:E$126,1),1))</f>
        <v>0</v>
      </c>
      <c r="E189" s="219">
        <f>INDEX('Step 4 Stage Discharge'!E$26:M$126,MATCH(C189,'Step 4 Stage Discharge'!E$26:E$126,1),9)+(INDEX('Step 4 Stage Discharge'!E$26:M$126,MATCH('Step 6 Quality Check'!C189,'Step 4 Stage Discharge'!E$26:E$126,1)+1,9)-INDEX('Step 4 Stage Discharge'!E$26:M$126,MATCH('Step 6 Quality Check'!C189,'Step 4 Stage Discharge'!E$26:E$126,1),9))*('Step 6 Quality Check'!C189-INDEX('Step 4 Stage Discharge'!E$26:M$126,MATCH('Step 6 Quality Check'!C189,'Step 4 Stage Discharge'!E$26:E$126,1),1))/(INDEX('Step 4 Stage Discharge'!E$26:M$126,MATCH('Step 6 Quality Check'!C189,'Step 4 Stage Discharge'!E$26:E$126,1)+1,1)-INDEX('Step 4 Stage Discharge'!E$26:M$126,MATCH('Step 6 Quality Check'!C189,'Step 4 Stage Discharge'!E$26:E$126,1),1))</f>
        <v>4.3639431710317386E-3</v>
      </c>
      <c r="F189" s="218">
        <f t="shared" si="10"/>
        <v>0</v>
      </c>
      <c r="G189" s="218">
        <f t="shared" si="11"/>
        <v>0</v>
      </c>
    </row>
    <row r="190" spans="1:7">
      <c r="A190" s="217">
        <f t="shared" si="12"/>
        <v>870</v>
      </c>
      <c r="B190" s="216">
        <f t="shared" si="13"/>
        <v>99.1</v>
      </c>
      <c r="C190" s="218">
        <f t="shared" si="14"/>
        <v>0</v>
      </c>
      <c r="D190" s="219">
        <f>INDEX('Step 4 Stage Discharge'!E$26:F$126,MATCH(C190,'Step 4 Stage Discharge'!E$26:E$126,1),2)+(INDEX('Step 4 Stage Discharge'!E$26:F$126,MATCH(C190,'Step 4 Stage Discharge'!E$26:E$126,1)+1,2)-INDEX('Step 4 Stage Discharge'!E$26:F$126,MATCH(C190,'Step 4 Stage Discharge'!E$26:E$126,1),2))*(C190-INDEX('Step 4 Stage Discharge'!E$26:F$126,MATCH(C190,'Step 4 Stage Discharge'!E$26:E$126,1),1))/(INDEX('Step 4 Stage Discharge'!E$26:F$126,MATCH(C190,'Step 4 Stage Discharge'!E$26:E$126,1)+1,1)-INDEX('Step 4 Stage Discharge'!E$26:F$126,MATCH(C190,'Step 4 Stage Discharge'!E$26:E$126,1),1))</f>
        <v>0</v>
      </c>
      <c r="E190" s="219">
        <f>INDEX('Step 4 Stage Discharge'!E$26:M$126,MATCH(C190,'Step 4 Stage Discharge'!E$26:E$126,1),9)+(INDEX('Step 4 Stage Discharge'!E$26:M$126,MATCH('Step 6 Quality Check'!C190,'Step 4 Stage Discharge'!E$26:E$126,1)+1,9)-INDEX('Step 4 Stage Discharge'!E$26:M$126,MATCH('Step 6 Quality Check'!C190,'Step 4 Stage Discharge'!E$26:E$126,1),9))*('Step 6 Quality Check'!C190-INDEX('Step 4 Stage Discharge'!E$26:M$126,MATCH('Step 6 Quality Check'!C190,'Step 4 Stage Discharge'!E$26:E$126,1),1))/(INDEX('Step 4 Stage Discharge'!E$26:M$126,MATCH('Step 6 Quality Check'!C190,'Step 4 Stage Discharge'!E$26:E$126,1)+1,1)-INDEX('Step 4 Stage Discharge'!E$26:M$126,MATCH('Step 6 Quality Check'!C190,'Step 4 Stage Discharge'!E$26:E$126,1),1))</f>
        <v>4.3639431710317386E-3</v>
      </c>
      <c r="F190" s="218">
        <f t="shared" si="10"/>
        <v>0</v>
      </c>
      <c r="G190" s="218">
        <f t="shared" si="11"/>
        <v>0</v>
      </c>
    </row>
    <row r="191" spans="1:7">
      <c r="A191" s="217">
        <f t="shared" si="12"/>
        <v>875</v>
      </c>
      <c r="B191" s="216">
        <f t="shared" si="13"/>
        <v>99.1</v>
      </c>
      <c r="C191" s="218">
        <f t="shared" si="14"/>
        <v>0</v>
      </c>
      <c r="D191" s="219">
        <f>INDEX('Step 4 Stage Discharge'!E$26:F$126,MATCH(C191,'Step 4 Stage Discharge'!E$26:E$126,1),2)+(INDEX('Step 4 Stage Discharge'!E$26:F$126,MATCH(C191,'Step 4 Stage Discharge'!E$26:E$126,1)+1,2)-INDEX('Step 4 Stage Discharge'!E$26:F$126,MATCH(C191,'Step 4 Stage Discharge'!E$26:E$126,1),2))*(C191-INDEX('Step 4 Stage Discharge'!E$26:F$126,MATCH(C191,'Step 4 Stage Discharge'!E$26:E$126,1),1))/(INDEX('Step 4 Stage Discharge'!E$26:F$126,MATCH(C191,'Step 4 Stage Discharge'!E$26:E$126,1)+1,1)-INDEX('Step 4 Stage Discharge'!E$26:F$126,MATCH(C191,'Step 4 Stage Discharge'!E$26:E$126,1),1))</f>
        <v>0</v>
      </c>
      <c r="E191" s="219">
        <f>INDEX('Step 4 Stage Discharge'!E$26:M$126,MATCH(C191,'Step 4 Stage Discharge'!E$26:E$126,1),9)+(INDEX('Step 4 Stage Discharge'!E$26:M$126,MATCH('Step 6 Quality Check'!C191,'Step 4 Stage Discharge'!E$26:E$126,1)+1,9)-INDEX('Step 4 Stage Discharge'!E$26:M$126,MATCH('Step 6 Quality Check'!C191,'Step 4 Stage Discharge'!E$26:E$126,1),9))*('Step 6 Quality Check'!C191-INDEX('Step 4 Stage Discharge'!E$26:M$126,MATCH('Step 6 Quality Check'!C191,'Step 4 Stage Discharge'!E$26:E$126,1),1))/(INDEX('Step 4 Stage Discharge'!E$26:M$126,MATCH('Step 6 Quality Check'!C191,'Step 4 Stage Discharge'!E$26:E$126,1)+1,1)-INDEX('Step 4 Stage Discharge'!E$26:M$126,MATCH('Step 6 Quality Check'!C191,'Step 4 Stage Discharge'!E$26:E$126,1),1))</f>
        <v>4.3639431710317386E-3</v>
      </c>
      <c r="F191" s="218">
        <f t="shared" si="10"/>
        <v>0</v>
      </c>
      <c r="G191" s="218">
        <f t="shared" si="11"/>
        <v>0</v>
      </c>
    </row>
    <row r="192" spans="1:7">
      <c r="A192" s="217">
        <f t="shared" si="12"/>
        <v>880</v>
      </c>
      <c r="B192" s="216">
        <f t="shared" si="13"/>
        <v>99.1</v>
      </c>
      <c r="C192" s="218">
        <f t="shared" si="14"/>
        <v>0</v>
      </c>
      <c r="D192" s="219">
        <f>INDEX('Step 4 Stage Discharge'!E$26:F$126,MATCH(C192,'Step 4 Stage Discharge'!E$26:E$126,1),2)+(INDEX('Step 4 Stage Discharge'!E$26:F$126,MATCH(C192,'Step 4 Stage Discharge'!E$26:E$126,1)+1,2)-INDEX('Step 4 Stage Discharge'!E$26:F$126,MATCH(C192,'Step 4 Stage Discharge'!E$26:E$126,1),2))*(C192-INDEX('Step 4 Stage Discharge'!E$26:F$126,MATCH(C192,'Step 4 Stage Discharge'!E$26:E$126,1),1))/(INDEX('Step 4 Stage Discharge'!E$26:F$126,MATCH(C192,'Step 4 Stage Discharge'!E$26:E$126,1)+1,1)-INDEX('Step 4 Stage Discharge'!E$26:F$126,MATCH(C192,'Step 4 Stage Discharge'!E$26:E$126,1),1))</f>
        <v>0</v>
      </c>
      <c r="E192" s="219">
        <f>INDEX('Step 4 Stage Discharge'!E$26:M$126,MATCH(C192,'Step 4 Stage Discharge'!E$26:E$126,1),9)+(INDEX('Step 4 Stage Discharge'!E$26:M$126,MATCH('Step 6 Quality Check'!C192,'Step 4 Stage Discharge'!E$26:E$126,1)+1,9)-INDEX('Step 4 Stage Discharge'!E$26:M$126,MATCH('Step 6 Quality Check'!C192,'Step 4 Stage Discharge'!E$26:E$126,1),9))*('Step 6 Quality Check'!C192-INDEX('Step 4 Stage Discharge'!E$26:M$126,MATCH('Step 6 Quality Check'!C192,'Step 4 Stage Discharge'!E$26:E$126,1),1))/(INDEX('Step 4 Stage Discharge'!E$26:M$126,MATCH('Step 6 Quality Check'!C192,'Step 4 Stage Discharge'!E$26:E$126,1)+1,1)-INDEX('Step 4 Stage Discharge'!E$26:M$126,MATCH('Step 6 Quality Check'!C192,'Step 4 Stage Discharge'!E$26:E$126,1),1))</f>
        <v>4.3639431710317386E-3</v>
      </c>
      <c r="F192" s="218">
        <f t="shared" si="10"/>
        <v>0</v>
      </c>
      <c r="G192" s="218">
        <f t="shared" si="11"/>
        <v>0</v>
      </c>
    </row>
    <row r="193" spans="1:7">
      <c r="A193" s="217">
        <f t="shared" si="12"/>
        <v>885</v>
      </c>
      <c r="B193" s="216">
        <f t="shared" si="13"/>
        <v>99.1</v>
      </c>
      <c r="C193" s="218">
        <f t="shared" si="14"/>
        <v>0</v>
      </c>
      <c r="D193" s="219">
        <f>INDEX('Step 4 Stage Discharge'!E$26:F$126,MATCH(C193,'Step 4 Stage Discharge'!E$26:E$126,1),2)+(INDEX('Step 4 Stage Discharge'!E$26:F$126,MATCH(C193,'Step 4 Stage Discharge'!E$26:E$126,1)+1,2)-INDEX('Step 4 Stage Discharge'!E$26:F$126,MATCH(C193,'Step 4 Stage Discharge'!E$26:E$126,1),2))*(C193-INDEX('Step 4 Stage Discharge'!E$26:F$126,MATCH(C193,'Step 4 Stage Discharge'!E$26:E$126,1),1))/(INDEX('Step 4 Stage Discharge'!E$26:F$126,MATCH(C193,'Step 4 Stage Discharge'!E$26:E$126,1)+1,1)-INDEX('Step 4 Stage Discharge'!E$26:F$126,MATCH(C193,'Step 4 Stage Discharge'!E$26:E$126,1),1))</f>
        <v>0</v>
      </c>
      <c r="E193" s="219">
        <f>INDEX('Step 4 Stage Discharge'!E$26:M$126,MATCH(C193,'Step 4 Stage Discharge'!E$26:E$126,1),9)+(INDEX('Step 4 Stage Discharge'!E$26:M$126,MATCH('Step 6 Quality Check'!C193,'Step 4 Stage Discharge'!E$26:E$126,1)+1,9)-INDEX('Step 4 Stage Discharge'!E$26:M$126,MATCH('Step 6 Quality Check'!C193,'Step 4 Stage Discharge'!E$26:E$126,1),9))*('Step 6 Quality Check'!C193-INDEX('Step 4 Stage Discharge'!E$26:M$126,MATCH('Step 6 Quality Check'!C193,'Step 4 Stage Discharge'!E$26:E$126,1),1))/(INDEX('Step 4 Stage Discharge'!E$26:M$126,MATCH('Step 6 Quality Check'!C193,'Step 4 Stage Discharge'!E$26:E$126,1)+1,1)-INDEX('Step 4 Stage Discharge'!E$26:M$126,MATCH('Step 6 Quality Check'!C193,'Step 4 Stage Discharge'!E$26:E$126,1),1))</f>
        <v>4.3639431710317386E-3</v>
      </c>
      <c r="F193" s="218">
        <f t="shared" si="10"/>
        <v>0</v>
      </c>
      <c r="G193" s="218">
        <f t="shared" si="11"/>
        <v>0</v>
      </c>
    </row>
    <row r="194" spans="1:7">
      <c r="A194" s="217">
        <f t="shared" si="12"/>
        <v>890</v>
      </c>
      <c r="B194" s="216">
        <f t="shared" si="13"/>
        <v>99.1</v>
      </c>
      <c r="C194" s="218">
        <f t="shared" si="14"/>
        <v>0</v>
      </c>
      <c r="D194" s="219">
        <f>INDEX('Step 4 Stage Discharge'!E$26:F$126,MATCH(C194,'Step 4 Stage Discharge'!E$26:E$126,1),2)+(INDEX('Step 4 Stage Discharge'!E$26:F$126,MATCH(C194,'Step 4 Stage Discharge'!E$26:E$126,1)+1,2)-INDEX('Step 4 Stage Discharge'!E$26:F$126,MATCH(C194,'Step 4 Stage Discharge'!E$26:E$126,1),2))*(C194-INDEX('Step 4 Stage Discharge'!E$26:F$126,MATCH(C194,'Step 4 Stage Discharge'!E$26:E$126,1),1))/(INDEX('Step 4 Stage Discharge'!E$26:F$126,MATCH(C194,'Step 4 Stage Discharge'!E$26:E$126,1)+1,1)-INDEX('Step 4 Stage Discharge'!E$26:F$126,MATCH(C194,'Step 4 Stage Discharge'!E$26:E$126,1),1))</f>
        <v>0</v>
      </c>
      <c r="E194" s="219">
        <f>INDEX('Step 4 Stage Discharge'!E$26:M$126,MATCH(C194,'Step 4 Stage Discharge'!E$26:E$126,1),9)+(INDEX('Step 4 Stage Discharge'!E$26:M$126,MATCH('Step 6 Quality Check'!C194,'Step 4 Stage Discharge'!E$26:E$126,1)+1,9)-INDEX('Step 4 Stage Discharge'!E$26:M$126,MATCH('Step 6 Quality Check'!C194,'Step 4 Stage Discharge'!E$26:E$126,1),9))*('Step 6 Quality Check'!C194-INDEX('Step 4 Stage Discharge'!E$26:M$126,MATCH('Step 6 Quality Check'!C194,'Step 4 Stage Discharge'!E$26:E$126,1),1))/(INDEX('Step 4 Stage Discharge'!E$26:M$126,MATCH('Step 6 Quality Check'!C194,'Step 4 Stage Discharge'!E$26:E$126,1)+1,1)-INDEX('Step 4 Stage Discharge'!E$26:M$126,MATCH('Step 6 Quality Check'!C194,'Step 4 Stage Discharge'!E$26:E$126,1),1))</f>
        <v>4.3639431710317386E-3</v>
      </c>
      <c r="F194" s="218">
        <f t="shared" si="10"/>
        <v>0</v>
      </c>
      <c r="G194" s="218">
        <f t="shared" si="11"/>
        <v>0</v>
      </c>
    </row>
    <row r="195" spans="1:7">
      <c r="A195" s="217">
        <f t="shared" si="12"/>
        <v>895</v>
      </c>
      <c r="B195" s="216">
        <f t="shared" si="13"/>
        <v>99.1</v>
      </c>
      <c r="C195" s="218">
        <f t="shared" si="14"/>
        <v>0</v>
      </c>
      <c r="D195" s="219">
        <f>INDEX('Step 4 Stage Discharge'!E$26:F$126,MATCH(C195,'Step 4 Stage Discharge'!E$26:E$126,1),2)+(INDEX('Step 4 Stage Discharge'!E$26:F$126,MATCH(C195,'Step 4 Stage Discharge'!E$26:E$126,1)+1,2)-INDEX('Step 4 Stage Discharge'!E$26:F$126,MATCH(C195,'Step 4 Stage Discharge'!E$26:E$126,1),2))*(C195-INDEX('Step 4 Stage Discharge'!E$26:F$126,MATCH(C195,'Step 4 Stage Discharge'!E$26:E$126,1),1))/(INDEX('Step 4 Stage Discharge'!E$26:F$126,MATCH(C195,'Step 4 Stage Discharge'!E$26:E$126,1)+1,1)-INDEX('Step 4 Stage Discharge'!E$26:F$126,MATCH(C195,'Step 4 Stage Discharge'!E$26:E$126,1),1))</f>
        <v>0</v>
      </c>
      <c r="E195" s="219">
        <f>INDEX('Step 4 Stage Discharge'!E$26:M$126,MATCH(C195,'Step 4 Stage Discharge'!E$26:E$126,1),9)+(INDEX('Step 4 Stage Discharge'!E$26:M$126,MATCH('Step 6 Quality Check'!C195,'Step 4 Stage Discharge'!E$26:E$126,1)+1,9)-INDEX('Step 4 Stage Discharge'!E$26:M$126,MATCH('Step 6 Quality Check'!C195,'Step 4 Stage Discharge'!E$26:E$126,1),9))*('Step 6 Quality Check'!C195-INDEX('Step 4 Stage Discharge'!E$26:M$126,MATCH('Step 6 Quality Check'!C195,'Step 4 Stage Discharge'!E$26:E$126,1),1))/(INDEX('Step 4 Stage Discharge'!E$26:M$126,MATCH('Step 6 Quality Check'!C195,'Step 4 Stage Discharge'!E$26:E$126,1)+1,1)-INDEX('Step 4 Stage Discharge'!E$26:M$126,MATCH('Step 6 Quality Check'!C195,'Step 4 Stage Discharge'!E$26:E$126,1),1))</f>
        <v>4.3639431710317386E-3</v>
      </c>
      <c r="F195" s="218">
        <f t="shared" si="10"/>
        <v>0</v>
      </c>
      <c r="G195" s="218">
        <f t="shared" si="11"/>
        <v>0</v>
      </c>
    </row>
    <row r="196" spans="1:7">
      <c r="A196" s="217">
        <f t="shared" si="12"/>
        <v>900</v>
      </c>
      <c r="B196" s="216">
        <f t="shared" si="13"/>
        <v>99.1</v>
      </c>
      <c r="C196" s="218">
        <f t="shared" si="14"/>
        <v>0</v>
      </c>
      <c r="D196" s="219">
        <f>INDEX('Step 4 Stage Discharge'!E$26:F$126,MATCH(C196,'Step 4 Stage Discharge'!E$26:E$126,1),2)+(INDEX('Step 4 Stage Discharge'!E$26:F$126,MATCH(C196,'Step 4 Stage Discharge'!E$26:E$126,1)+1,2)-INDEX('Step 4 Stage Discharge'!E$26:F$126,MATCH(C196,'Step 4 Stage Discharge'!E$26:E$126,1),2))*(C196-INDEX('Step 4 Stage Discharge'!E$26:F$126,MATCH(C196,'Step 4 Stage Discharge'!E$26:E$126,1),1))/(INDEX('Step 4 Stage Discharge'!E$26:F$126,MATCH(C196,'Step 4 Stage Discharge'!E$26:E$126,1)+1,1)-INDEX('Step 4 Stage Discharge'!E$26:F$126,MATCH(C196,'Step 4 Stage Discharge'!E$26:E$126,1),1))</f>
        <v>0</v>
      </c>
      <c r="E196" s="219">
        <f>INDEX('Step 4 Stage Discharge'!E$26:M$126,MATCH(C196,'Step 4 Stage Discharge'!E$26:E$126,1),9)+(INDEX('Step 4 Stage Discharge'!E$26:M$126,MATCH('Step 6 Quality Check'!C196,'Step 4 Stage Discharge'!E$26:E$126,1)+1,9)-INDEX('Step 4 Stage Discharge'!E$26:M$126,MATCH('Step 6 Quality Check'!C196,'Step 4 Stage Discharge'!E$26:E$126,1),9))*('Step 6 Quality Check'!C196-INDEX('Step 4 Stage Discharge'!E$26:M$126,MATCH('Step 6 Quality Check'!C196,'Step 4 Stage Discharge'!E$26:E$126,1),1))/(INDEX('Step 4 Stage Discharge'!E$26:M$126,MATCH('Step 6 Quality Check'!C196,'Step 4 Stage Discharge'!E$26:E$126,1)+1,1)-INDEX('Step 4 Stage Discharge'!E$26:M$126,MATCH('Step 6 Quality Check'!C196,'Step 4 Stage Discharge'!E$26:E$126,1),1))</f>
        <v>4.3639431710317386E-3</v>
      </c>
      <c r="F196" s="218">
        <f t="shared" si="10"/>
        <v>0</v>
      </c>
      <c r="G196" s="218">
        <f t="shared" si="11"/>
        <v>0</v>
      </c>
    </row>
    <row r="197" spans="1:7">
      <c r="A197" s="217">
        <f t="shared" si="12"/>
        <v>905</v>
      </c>
      <c r="B197" s="216">
        <f t="shared" si="13"/>
        <v>99.1</v>
      </c>
      <c r="C197" s="218">
        <f t="shared" si="14"/>
        <v>0</v>
      </c>
      <c r="D197" s="219">
        <f>INDEX('Step 4 Stage Discharge'!E$26:F$126,MATCH(C197,'Step 4 Stage Discharge'!E$26:E$126,1),2)+(INDEX('Step 4 Stage Discharge'!E$26:F$126,MATCH(C197,'Step 4 Stage Discharge'!E$26:E$126,1)+1,2)-INDEX('Step 4 Stage Discharge'!E$26:F$126,MATCH(C197,'Step 4 Stage Discharge'!E$26:E$126,1),2))*(C197-INDEX('Step 4 Stage Discharge'!E$26:F$126,MATCH(C197,'Step 4 Stage Discharge'!E$26:E$126,1),1))/(INDEX('Step 4 Stage Discharge'!E$26:F$126,MATCH(C197,'Step 4 Stage Discharge'!E$26:E$126,1)+1,1)-INDEX('Step 4 Stage Discharge'!E$26:F$126,MATCH(C197,'Step 4 Stage Discharge'!E$26:E$126,1),1))</f>
        <v>0</v>
      </c>
      <c r="E197" s="219">
        <f>INDEX('Step 4 Stage Discharge'!E$26:M$126,MATCH(C197,'Step 4 Stage Discharge'!E$26:E$126,1),9)+(INDEX('Step 4 Stage Discharge'!E$26:M$126,MATCH('Step 6 Quality Check'!C197,'Step 4 Stage Discharge'!E$26:E$126,1)+1,9)-INDEX('Step 4 Stage Discharge'!E$26:M$126,MATCH('Step 6 Quality Check'!C197,'Step 4 Stage Discharge'!E$26:E$126,1),9))*('Step 6 Quality Check'!C197-INDEX('Step 4 Stage Discharge'!E$26:M$126,MATCH('Step 6 Quality Check'!C197,'Step 4 Stage Discharge'!E$26:E$126,1),1))/(INDEX('Step 4 Stage Discharge'!E$26:M$126,MATCH('Step 6 Quality Check'!C197,'Step 4 Stage Discharge'!E$26:E$126,1)+1,1)-INDEX('Step 4 Stage Discharge'!E$26:M$126,MATCH('Step 6 Quality Check'!C197,'Step 4 Stage Discharge'!E$26:E$126,1),1))</f>
        <v>4.3639431710317386E-3</v>
      </c>
      <c r="F197" s="218">
        <f t="shared" si="10"/>
        <v>0</v>
      </c>
      <c r="G197" s="218">
        <f t="shared" si="11"/>
        <v>0</v>
      </c>
    </row>
    <row r="198" spans="1:7">
      <c r="A198" s="217">
        <f t="shared" si="12"/>
        <v>910</v>
      </c>
      <c r="B198" s="216">
        <f t="shared" si="13"/>
        <v>99.1</v>
      </c>
      <c r="C198" s="218">
        <f t="shared" si="14"/>
        <v>0</v>
      </c>
      <c r="D198" s="219">
        <f>INDEX('Step 4 Stage Discharge'!E$26:F$126,MATCH(C198,'Step 4 Stage Discharge'!E$26:E$126,1),2)+(INDEX('Step 4 Stage Discharge'!E$26:F$126,MATCH(C198,'Step 4 Stage Discharge'!E$26:E$126,1)+1,2)-INDEX('Step 4 Stage Discharge'!E$26:F$126,MATCH(C198,'Step 4 Stage Discharge'!E$26:E$126,1),2))*(C198-INDEX('Step 4 Stage Discharge'!E$26:F$126,MATCH(C198,'Step 4 Stage Discharge'!E$26:E$126,1),1))/(INDEX('Step 4 Stage Discharge'!E$26:F$126,MATCH(C198,'Step 4 Stage Discharge'!E$26:E$126,1)+1,1)-INDEX('Step 4 Stage Discharge'!E$26:F$126,MATCH(C198,'Step 4 Stage Discharge'!E$26:E$126,1),1))</f>
        <v>0</v>
      </c>
      <c r="E198" s="219">
        <f>INDEX('Step 4 Stage Discharge'!E$26:M$126,MATCH(C198,'Step 4 Stage Discharge'!E$26:E$126,1),9)+(INDEX('Step 4 Stage Discharge'!E$26:M$126,MATCH('Step 6 Quality Check'!C198,'Step 4 Stage Discharge'!E$26:E$126,1)+1,9)-INDEX('Step 4 Stage Discharge'!E$26:M$126,MATCH('Step 6 Quality Check'!C198,'Step 4 Stage Discharge'!E$26:E$126,1),9))*('Step 6 Quality Check'!C198-INDEX('Step 4 Stage Discharge'!E$26:M$126,MATCH('Step 6 Quality Check'!C198,'Step 4 Stage Discharge'!E$26:E$126,1),1))/(INDEX('Step 4 Stage Discharge'!E$26:M$126,MATCH('Step 6 Quality Check'!C198,'Step 4 Stage Discharge'!E$26:E$126,1)+1,1)-INDEX('Step 4 Stage Discharge'!E$26:M$126,MATCH('Step 6 Quality Check'!C198,'Step 4 Stage Discharge'!E$26:E$126,1),1))</f>
        <v>4.3639431710317386E-3</v>
      </c>
      <c r="F198" s="218">
        <f t="shared" si="10"/>
        <v>0</v>
      </c>
      <c r="G198" s="218">
        <f t="shared" si="11"/>
        <v>0</v>
      </c>
    </row>
    <row r="199" spans="1:7">
      <c r="A199" s="217">
        <f t="shared" si="12"/>
        <v>915</v>
      </c>
      <c r="B199" s="216">
        <f t="shared" si="13"/>
        <v>99.1</v>
      </c>
      <c r="C199" s="218">
        <f t="shared" si="14"/>
        <v>0</v>
      </c>
      <c r="D199" s="219">
        <f>INDEX('Step 4 Stage Discharge'!E$26:F$126,MATCH(C199,'Step 4 Stage Discharge'!E$26:E$126,1),2)+(INDEX('Step 4 Stage Discharge'!E$26:F$126,MATCH(C199,'Step 4 Stage Discharge'!E$26:E$126,1)+1,2)-INDEX('Step 4 Stage Discharge'!E$26:F$126,MATCH(C199,'Step 4 Stage Discharge'!E$26:E$126,1),2))*(C199-INDEX('Step 4 Stage Discharge'!E$26:F$126,MATCH(C199,'Step 4 Stage Discharge'!E$26:E$126,1),1))/(INDEX('Step 4 Stage Discharge'!E$26:F$126,MATCH(C199,'Step 4 Stage Discharge'!E$26:E$126,1)+1,1)-INDEX('Step 4 Stage Discharge'!E$26:F$126,MATCH(C199,'Step 4 Stage Discharge'!E$26:E$126,1),1))</f>
        <v>0</v>
      </c>
      <c r="E199" s="219">
        <f>INDEX('Step 4 Stage Discharge'!E$26:M$126,MATCH(C199,'Step 4 Stage Discharge'!E$26:E$126,1),9)+(INDEX('Step 4 Stage Discharge'!E$26:M$126,MATCH('Step 6 Quality Check'!C199,'Step 4 Stage Discharge'!E$26:E$126,1)+1,9)-INDEX('Step 4 Stage Discharge'!E$26:M$126,MATCH('Step 6 Quality Check'!C199,'Step 4 Stage Discharge'!E$26:E$126,1),9))*('Step 6 Quality Check'!C199-INDEX('Step 4 Stage Discharge'!E$26:M$126,MATCH('Step 6 Quality Check'!C199,'Step 4 Stage Discharge'!E$26:E$126,1),1))/(INDEX('Step 4 Stage Discharge'!E$26:M$126,MATCH('Step 6 Quality Check'!C199,'Step 4 Stage Discharge'!E$26:E$126,1)+1,1)-INDEX('Step 4 Stage Discharge'!E$26:M$126,MATCH('Step 6 Quality Check'!C199,'Step 4 Stage Discharge'!E$26:E$126,1),1))</f>
        <v>4.3639431710317386E-3</v>
      </c>
      <c r="F199" s="218">
        <f t="shared" si="10"/>
        <v>0</v>
      </c>
      <c r="G199" s="218">
        <f t="shared" si="11"/>
        <v>0</v>
      </c>
    </row>
    <row r="200" spans="1:7">
      <c r="A200" s="217">
        <f t="shared" si="12"/>
        <v>920</v>
      </c>
      <c r="B200" s="216">
        <f t="shared" si="13"/>
        <v>99.1</v>
      </c>
      <c r="C200" s="218">
        <f t="shared" si="14"/>
        <v>0</v>
      </c>
      <c r="D200" s="219">
        <f>INDEX('Step 4 Stage Discharge'!E$26:F$126,MATCH(C200,'Step 4 Stage Discharge'!E$26:E$126,1),2)+(INDEX('Step 4 Stage Discharge'!E$26:F$126,MATCH(C200,'Step 4 Stage Discharge'!E$26:E$126,1)+1,2)-INDEX('Step 4 Stage Discharge'!E$26:F$126,MATCH(C200,'Step 4 Stage Discharge'!E$26:E$126,1),2))*(C200-INDEX('Step 4 Stage Discharge'!E$26:F$126,MATCH(C200,'Step 4 Stage Discharge'!E$26:E$126,1),1))/(INDEX('Step 4 Stage Discharge'!E$26:F$126,MATCH(C200,'Step 4 Stage Discharge'!E$26:E$126,1)+1,1)-INDEX('Step 4 Stage Discharge'!E$26:F$126,MATCH(C200,'Step 4 Stage Discharge'!E$26:E$126,1),1))</f>
        <v>0</v>
      </c>
      <c r="E200" s="219">
        <f>INDEX('Step 4 Stage Discharge'!E$26:M$126,MATCH(C200,'Step 4 Stage Discharge'!E$26:E$126,1),9)+(INDEX('Step 4 Stage Discharge'!E$26:M$126,MATCH('Step 6 Quality Check'!C200,'Step 4 Stage Discharge'!E$26:E$126,1)+1,9)-INDEX('Step 4 Stage Discharge'!E$26:M$126,MATCH('Step 6 Quality Check'!C200,'Step 4 Stage Discharge'!E$26:E$126,1),9))*('Step 6 Quality Check'!C200-INDEX('Step 4 Stage Discharge'!E$26:M$126,MATCH('Step 6 Quality Check'!C200,'Step 4 Stage Discharge'!E$26:E$126,1),1))/(INDEX('Step 4 Stage Discharge'!E$26:M$126,MATCH('Step 6 Quality Check'!C200,'Step 4 Stage Discharge'!E$26:E$126,1)+1,1)-INDEX('Step 4 Stage Discharge'!E$26:M$126,MATCH('Step 6 Quality Check'!C200,'Step 4 Stage Discharge'!E$26:E$126,1),1))</f>
        <v>4.3639431710317386E-3</v>
      </c>
      <c r="F200" s="218">
        <f t="shared" si="10"/>
        <v>0</v>
      </c>
      <c r="G200" s="218">
        <f t="shared" si="11"/>
        <v>0</v>
      </c>
    </row>
    <row r="201" spans="1:7">
      <c r="A201" s="217">
        <f t="shared" si="12"/>
        <v>925</v>
      </c>
      <c r="B201" s="216">
        <f t="shared" si="13"/>
        <v>99.1</v>
      </c>
      <c r="C201" s="218">
        <f t="shared" si="14"/>
        <v>0</v>
      </c>
      <c r="D201" s="219">
        <f>INDEX('Step 4 Stage Discharge'!E$26:F$126,MATCH(C201,'Step 4 Stage Discharge'!E$26:E$126,1),2)+(INDEX('Step 4 Stage Discharge'!E$26:F$126,MATCH(C201,'Step 4 Stage Discharge'!E$26:E$126,1)+1,2)-INDEX('Step 4 Stage Discharge'!E$26:F$126,MATCH(C201,'Step 4 Stage Discharge'!E$26:E$126,1),2))*(C201-INDEX('Step 4 Stage Discharge'!E$26:F$126,MATCH(C201,'Step 4 Stage Discharge'!E$26:E$126,1),1))/(INDEX('Step 4 Stage Discharge'!E$26:F$126,MATCH(C201,'Step 4 Stage Discharge'!E$26:E$126,1)+1,1)-INDEX('Step 4 Stage Discharge'!E$26:F$126,MATCH(C201,'Step 4 Stage Discharge'!E$26:E$126,1),1))</f>
        <v>0</v>
      </c>
      <c r="E201" s="219">
        <f>INDEX('Step 4 Stage Discharge'!E$26:M$126,MATCH(C201,'Step 4 Stage Discharge'!E$26:E$126,1),9)+(INDEX('Step 4 Stage Discharge'!E$26:M$126,MATCH('Step 6 Quality Check'!C201,'Step 4 Stage Discharge'!E$26:E$126,1)+1,9)-INDEX('Step 4 Stage Discharge'!E$26:M$126,MATCH('Step 6 Quality Check'!C201,'Step 4 Stage Discharge'!E$26:E$126,1),9))*('Step 6 Quality Check'!C201-INDEX('Step 4 Stage Discharge'!E$26:M$126,MATCH('Step 6 Quality Check'!C201,'Step 4 Stage Discharge'!E$26:E$126,1),1))/(INDEX('Step 4 Stage Discharge'!E$26:M$126,MATCH('Step 6 Quality Check'!C201,'Step 4 Stage Discharge'!E$26:E$126,1)+1,1)-INDEX('Step 4 Stage Discharge'!E$26:M$126,MATCH('Step 6 Quality Check'!C201,'Step 4 Stage Discharge'!E$26:E$126,1),1))</f>
        <v>4.3639431710317386E-3</v>
      </c>
      <c r="F201" s="218">
        <f t="shared" si="10"/>
        <v>0</v>
      </c>
      <c r="G201" s="218">
        <f t="shared" si="11"/>
        <v>0</v>
      </c>
    </row>
    <row r="202" spans="1:7">
      <c r="A202" s="217">
        <f t="shared" si="12"/>
        <v>930</v>
      </c>
      <c r="B202" s="216">
        <f t="shared" si="13"/>
        <v>99.1</v>
      </c>
      <c r="C202" s="218">
        <f t="shared" si="14"/>
        <v>0</v>
      </c>
      <c r="D202" s="219">
        <f>INDEX('Step 4 Stage Discharge'!E$26:F$126,MATCH(C202,'Step 4 Stage Discharge'!E$26:E$126,1),2)+(INDEX('Step 4 Stage Discharge'!E$26:F$126,MATCH(C202,'Step 4 Stage Discharge'!E$26:E$126,1)+1,2)-INDEX('Step 4 Stage Discharge'!E$26:F$126,MATCH(C202,'Step 4 Stage Discharge'!E$26:E$126,1),2))*(C202-INDEX('Step 4 Stage Discharge'!E$26:F$126,MATCH(C202,'Step 4 Stage Discharge'!E$26:E$126,1),1))/(INDEX('Step 4 Stage Discharge'!E$26:F$126,MATCH(C202,'Step 4 Stage Discharge'!E$26:E$126,1)+1,1)-INDEX('Step 4 Stage Discharge'!E$26:F$126,MATCH(C202,'Step 4 Stage Discharge'!E$26:E$126,1),1))</f>
        <v>0</v>
      </c>
      <c r="E202" s="219">
        <f>INDEX('Step 4 Stage Discharge'!E$26:M$126,MATCH(C202,'Step 4 Stage Discharge'!E$26:E$126,1),9)+(INDEX('Step 4 Stage Discharge'!E$26:M$126,MATCH('Step 6 Quality Check'!C202,'Step 4 Stage Discharge'!E$26:E$126,1)+1,9)-INDEX('Step 4 Stage Discharge'!E$26:M$126,MATCH('Step 6 Quality Check'!C202,'Step 4 Stage Discharge'!E$26:E$126,1),9))*('Step 6 Quality Check'!C202-INDEX('Step 4 Stage Discharge'!E$26:M$126,MATCH('Step 6 Quality Check'!C202,'Step 4 Stage Discharge'!E$26:E$126,1),1))/(INDEX('Step 4 Stage Discharge'!E$26:M$126,MATCH('Step 6 Quality Check'!C202,'Step 4 Stage Discharge'!E$26:E$126,1)+1,1)-INDEX('Step 4 Stage Discharge'!E$26:M$126,MATCH('Step 6 Quality Check'!C202,'Step 4 Stage Discharge'!E$26:E$126,1),1))</f>
        <v>4.3639431710317386E-3</v>
      </c>
      <c r="F202" s="218">
        <f t="shared" si="10"/>
        <v>0</v>
      </c>
      <c r="G202" s="218">
        <f t="shared" si="11"/>
        <v>0</v>
      </c>
    </row>
    <row r="203" spans="1:7">
      <c r="A203" s="217">
        <f t="shared" si="12"/>
        <v>935</v>
      </c>
      <c r="B203" s="216">
        <f t="shared" si="13"/>
        <v>99.1</v>
      </c>
      <c r="C203" s="218">
        <f t="shared" si="14"/>
        <v>0</v>
      </c>
      <c r="D203" s="219">
        <f>INDEX('Step 4 Stage Discharge'!E$26:F$126,MATCH(C203,'Step 4 Stage Discharge'!E$26:E$126,1),2)+(INDEX('Step 4 Stage Discharge'!E$26:F$126,MATCH(C203,'Step 4 Stage Discharge'!E$26:E$126,1)+1,2)-INDEX('Step 4 Stage Discharge'!E$26:F$126,MATCH(C203,'Step 4 Stage Discharge'!E$26:E$126,1),2))*(C203-INDEX('Step 4 Stage Discharge'!E$26:F$126,MATCH(C203,'Step 4 Stage Discharge'!E$26:E$126,1),1))/(INDEX('Step 4 Stage Discharge'!E$26:F$126,MATCH(C203,'Step 4 Stage Discharge'!E$26:E$126,1)+1,1)-INDEX('Step 4 Stage Discharge'!E$26:F$126,MATCH(C203,'Step 4 Stage Discharge'!E$26:E$126,1),1))</f>
        <v>0</v>
      </c>
      <c r="E203" s="219">
        <f>INDEX('Step 4 Stage Discharge'!E$26:M$126,MATCH(C203,'Step 4 Stage Discharge'!E$26:E$126,1),9)+(INDEX('Step 4 Stage Discharge'!E$26:M$126,MATCH('Step 6 Quality Check'!C203,'Step 4 Stage Discharge'!E$26:E$126,1)+1,9)-INDEX('Step 4 Stage Discharge'!E$26:M$126,MATCH('Step 6 Quality Check'!C203,'Step 4 Stage Discharge'!E$26:E$126,1),9))*('Step 6 Quality Check'!C203-INDEX('Step 4 Stage Discharge'!E$26:M$126,MATCH('Step 6 Quality Check'!C203,'Step 4 Stage Discharge'!E$26:E$126,1),1))/(INDEX('Step 4 Stage Discharge'!E$26:M$126,MATCH('Step 6 Quality Check'!C203,'Step 4 Stage Discharge'!E$26:E$126,1)+1,1)-INDEX('Step 4 Stage Discharge'!E$26:M$126,MATCH('Step 6 Quality Check'!C203,'Step 4 Stage Discharge'!E$26:E$126,1),1))</f>
        <v>4.3639431710317386E-3</v>
      </c>
      <c r="F203" s="218">
        <f t="shared" si="10"/>
        <v>0</v>
      </c>
      <c r="G203" s="218">
        <f t="shared" si="11"/>
        <v>0</v>
      </c>
    </row>
    <row r="204" spans="1:7">
      <c r="A204" s="217">
        <f t="shared" si="12"/>
        <v>940</v>
      </c>
      <c r="B204" s="216">
        <f t="shared" si="13"/>
        <v>99.1</v>
      </c>
      <c r="C204" s="218">
        <f t="shared" si="14"/>
        <v>0</v>
      </c>
      <c r="D204" s="219">
        <f>INDEX('Step 4 Stage Discharge'!E$26:F$126,MATCH(C204,'Step 4 Stage Discharge'!E$26:E$126,1),2)+(INDEX('Step 4 Stage Discharge'!E$26:F$126,MATCH(C204,'Step 4 Stage Discharge'!E$26:E$126,1)+1,2)-INDEX('Step 4 Stage Discharge'!E$26:F$126,MATCH(C204,'Step 4 Stage Discharge'!E$26:E$126,1),2))*(C204-INDEX('Step 4 Stage Discharge'!E$26:F$126,MATCH(C204,'Step 4 Stage Discharge'!E$26:E$126,1),1))/(INDEX('Step 4 Stage Discharge'!E$26:F$126,MATCH(C204,'Step 4 Stage Discharge'!E$26:E$126,1)+1,1)-INDEX('Step 4 Stage Discharge'!E$26:F$126,MATCH(C204,'Step 4 Stage Discharge'!E$26:E$126,1),1))</f>
        <v>0</v>
      </c>
      <c r="E204" s="219">
        <f>INDEX('Step 4 Stage Discharge'!E$26:M$126,MATCH(C204,'Step 4 Stage Discharge'!E$26:E$126,1),9)+(INDEX('Step 4 Stage Discharge'!E$26:M$126,MATCH('Step 6 Quality Check'!C204,'Step 4 Stage Discharge'!E$26:E$126,1)+1,9)-INDEX('Step 4 Stage Discharge'!E$26:M$126,MATCH('Step 6 Quality Check'!C204,'Step 4 Stage Discharge'!E$26:E$126,1),9))*('Step 6 Quality Check'!C204-INDEX('Step 4 Stage Discharge'!E$26:M$126,MATCH('Step 6 Quality Check'!C204,'Step 4 Stage Discharge'!E$26:E$126,1),1))/(INDEX('Step 4 Stage Discharge'!E$26:M$126,MATCH('Step 6 Quality Check'!C204,'Step 4 Stage Discharge'!E$26:E$126,1)+1,1)-INDEX('Step 4 Stage Discharge'!E$26:M$126,MATCH('Step 6 Quality Check'!C204,'Step 4 Stage Discharge'!E$26:E$126,1),1))</f>
        <v>4.3639431710317386E-3</v>
      </c>
      <c r="F204" s="218">
        <f t="shared" si="10"/>
        <v>0</v>
      </c>
      <c r="G204" s="218">
        <f t="shared" si="11"/>
        <v>0</v>
      </c>
    </row>
    <row r="205" spans="1:7">
      <c r="A205" s="217">
        <f t="shared" si="12"/>
        <v>945</v>
      </c>
      <c r="B205" s="216">
        <f t="shared" si="13"/>
        <v>99.1</v>
      </c>
      <c r="C205" s="218">
        <f t="shared" si="14"/>
        <v>0</v>
      </c>
      <c r="D205" s="219">
        <f>INDEX('Step 4 Stage Discharge'!E$26:F$126,MATCH(C205,'Step 4 Stage Discharge'!E$26:E$126,1),2)+(INDEX('Step 4 Stage Discharge'!E$26:F$126,MATCH(C205,'Step 4 Stage Discharge'!E$26:E$126,1)+1,2)-INDEX('Step 4 Stage Discharge'!E$26:F$126,MATCH(C205,'Step 4 Stage Discharge'!E$26:E$126,1),2))*(C205-INDEX('Step 4 Stage Discharge'!E$26:F$126,MATCH(C205,'Step 4 Stage Discharge'!E$26:E$126,1),1))/(INDEX('Step 4 Stage Discharge'!E$26:F$126,MATCH(C205,'Step 4 Stage Discharge'!E$26:E$126,1)+1,1)-INDEX('Step 4 Stage Discharge'!E$26:F$126,MATCH(C205,'Step 4 Stage Discharge'!E$26:E$126,1),1))</f>
        <v>0</v>
      </c>
      <c r="E205" s="219">
        <f>INDEX('Step 4 Stage Discharge'!E$26:M$126,MATCH(C205,'Step 4 Stage Discharge'!E$26:E$126,1),9)+(INDEX('Step 4 Stage Discharge'!E$26:M$126,MATCH('Step 6 Quality Check'!C205,'Step 4 Stage Discharge'!E$26:E$126,1)+1,9)-INDEX('Step 4 Stage Discharge'!E$26:M$126,MATCH('Step 6 Quality Check'!C205,'Step 4 Stage Discharge'!E$26:E$126,1),9))*('Step 6 Quality Check'!C205-INDEX('Step 4 Stage Discharge'!E$26:M$126,MATCH('Step 6 Quality Check'!C205,'Step 4 Stage Discharge'!E$26:E$126,1),1))/(INDEX('Step 4 Stage Discharge'!E$26:M$126,MATCH('Step 6 Quality Check'!C205,'Step 4 Stage Discharge'!E$26:E$126,1)+1,1)-INDEX('Step 4 Stage Discharge'!E$26:M$126,MATCH('Step 6 Quality Check'!C205,'Step 4 Stage Discharge'!E$26:E$126,1),1))</f>
        <v>4.3639431710317386E-3</v>
      </c>
      <c r="F205" s="218">
        <f t="shared" si="10"/>
        <v>0</v>
      </c>
      <c r="G205" s="218">
        <f t="shared" si="11"/>
        <v>0</v>
      </c>
    </row>
    <row r="206" spans="1:7">
      <c r="A206" s="217">
        <f t="shared" si="12"/>
        <v>950</v>
      </c>
      <c r="B206" s="216">
        <f t="shared" si="13"/>
        <v>99.1</v>
      </c>
      <c r="C206" s="218">
        <f t="shared" si="14"/>
        <v>0</v>
      </c>
      <c r="D206" s="219">
        <f>INDEX('Step 4 Stage Discharge'!E$26:F$126,MATCH(C206,'Step 4 Stage Discharge'!E$26:E$126,1),2)+(INDEX('Step 4 Stage Discharge'!E$26:F$126,MATCH(C206,'Step 4 Stage Discharge'!E$26:E$126,1)+1,2)-INDEX('Step 4 Stage Discharge'!E$26:F$126,MATCH(C206,'Step 4 Stage Discharge'!E$26:E$126,1),2))*(C206-INDEX('Step 4 Stage Discharge'!E$26:F$126,MATCH(C206,'Step 4 Stage Discharge'!E$26:E$126,1),1))/(INDEX('Step 4 Stage Discharge'!E$26:F$126,MATCH(C206,'Step 4 Stage Discharge'!E$26:E$126,1)+1,1)-INDEX('Step 4 Stage Discharge'!E$26:F$126,MATCH(C206,'Step 4 Stage Discharge'!E$26:E$126,1),1))</f>
        <v>0</v>
      </c>
      <c r="E206" s="219">
        <f>INDEX('Step 4 Stage Discharge'!E$26:M$126,MATCH(C206,'Step 4 Stage Discharge'!E$26:E$126,1),9)+(INDEX('Step 4 Stage Discharge'!E$26:M$126,MATCH('Step 6 Quality Check'!C206,'Step 4 Stage Discharge'!E$26:E$126,1)+1,9)-INDEX('Step 4 Stage Discharge'!E$26:M$126,MATCH('Step 6 Quality Check'!C206,'Step 4 Stage Discharge'!E$26:E$126,1),9))*('Step 6 Quality Check'!C206-INDEX('Step 4 Stage Discharge'!E$26:M$126,MATCH('Step 6 Quality Check'!C206,'Step 4 Stage Discharge'!E$26:E$126,1),1))/(INDEX('Step 4 Stage Discharge'!E$26:M$126,MATCH('Step 6 Quality Check'!C206,'Step 4 Stage Discharge'!E$26:E$126,1)+1,1)-INDEX('Step 4 Stage Discharge'!E$26:M$126,MATCH('Step 6 Quality Check'!C206,'Step 4 Stage Discharge'!E$26:E$126,1),1))</f>
        <v>4.3639431710317386E-3</v>
      </c>
      <c r="F206" s="218">
        <f t="shared" si="10"/>
        <v>0</v>
      </c>
      <c r="G206" s="218">
        <f t="shared" si="11"/>
        <v>0</v>
      </c>
    </row>
    <row r="207" spans="1:7">
      <c r="A207" s="217">
        <f t="shared" si="12"/>
        <v>955</v>
      </c>
      <c r="B207" s="216">
        <f t="shared" si="13"/>
        <v>99.1</v>
      </c>
      <c r="C207" s="218">
        <f t="shared" si="14"/>
        <v>0</v>
      </c>
      <c r="D207" s="219">
        <f>INDEX('Step 4 Stage Discharge'!E$26:F$126,MATCH(C207,'Step 4 Stage Discharge'!E$26:E$126,1),2)+(INDEX('Step 4 Stage Discharge'!E$26:F$126,MATCH(C207,'Step 4 Stage Discharge'!E$26:E$126,1)+1,2)-INDEX('Step 4 Stage Discharge'!E$26:F$126,MATCH(C207,'Step 4 Stage Discharge'!E$26:E$126,1),2))*(C207-INDEX('Step 4 Stage Discharge'!E$26:F$126,MATCH(C207,'Step 4 Stage Discharge'!E$26:E$126,1),1))/(INDEX('Step 4 Stage Discharge'!E$26:F$126,MATCH(C207,'Step 4 Stage Discharge'!E$26:E$126,1)+1,1)-INDEX('Step 4 Stage Discharge'!E$26:F$126,MATCH(C207,'Step 4 Stage Discharge'!E$26:E$126,1),1))</f>
        <v>0</v>
      </c>
      <c r="E207" s="219">
        <f>INDEX('Step 4 Stage Discharge'!E$26:M$126,MATCH(C207,'Step 4 Stage Discharge'!E$26:E$126,1),9)+(INDEX('Step 4 Stage Discharge'!E$26:M$126,MATCH('Step 6 Quality Check'!C207,'Step 4 Stage Discharge'!E$26:E$126,1)+1,9)-INDEX('Step 4 Stage Discharge'!E$26:M$126,MATCH('Step 6 Quality Check'!C207,'Step 4 Stage Discharge'!E$26:E$126,1),9))*('Step 6 Quality Check'!C207-INDEX('Step 4 Stage Discharge'!E$26:M$126,MATCH('Step 6 Quality Check'!C207,'Step 4 Stage Discharge'!E$26:E$126,1),1))/(INDEX('Step 4 Stage Discharge'!E$26:M$126,MATCH('Step 6 Quality Check'!C207,'Step 4 Stage Discharge'!E$26:E$126,1)+1,1)-INDEX('Step 4 Stage Discharge'!E$26:M$126,MATCH('Step 6 Quality Check'!C207,'Step 4 Stage Discharge'!E$26:E$126,1),1))</f>
        <v>4.3639431710317386E-3</v>
      </c>
      <c r="F207" s="218">
        <f t="shared" si="10"/>
        <v>0</v>
      </c>
      <c r="G207" s="218">
        <f t="shared" si="11"/>
        <v>0</v>
      </c>
    </row>
    <row r="208" spans="1:7">
      <c r="A208" s="217">
        <f t="shared" si="12"/>
        <v>960</v>
      </c>
      <c r="B208" s="216">
        <f t="shared" si="13"/>
        <v>99.1</v>
      </c>
      <c r="C208" s="218">
        <f t="shared" si="14"/>
        <v>0</v>
      </c>
      <c r="D208" s="219">
        <f>INDEX('Step 4 Stage Discharge'!E$26:F$126,MATCH(C208,'Step 4 Stage Discharge'!E$26:E$126,1),2)+(INDEX('Step 4 Stage Discharge'!E$26:F$126,MATCH(C208,'Step 4 Stage Discharge'!E$26:E$126,1)+1,2)-INDEX('Step 4 Stage Discharge'!E$26:F$126,MATCH(C208,'Step 4 Stage Discharge'!E$26:E$126,1),2))*(C208-INDEX('Step 4 Stage Discharge'!E$26:F$126,MATCH(C208,'Step 4 Stage Discharge'!E$26:E$126,1),1))/(INDEX('Step 4 Stage Discharge'!E$26:F$126,MATCH(C208,'Step 4 Stage Discharge'!E$26:E$126,1)+1,1)-INDEX('Step 4 Stage Discharge'!E$26:F$126,MATCH(C208,'Step 4 Stage Discharge'!E$26:E$126,1),1))</f>
        <v>0</v>
      </c>
      <c r="E208" s="219">
        <f>INDEX('Step 4 Stage Discharge'!E$26:M$126,MATCH(C208,'Step 4 Stage Discharge'!E$26:E$126,1),9)+(INDEX('Step 4 Stage Discharge'!E$26:M$126,MATCH('Step 6 Quality Check'!C208,'Step 4 Stage Discharge'!E$26:E$126,1)+1,9)-INDEX('Step 4 Stage Discharge'!E$26:M$126,MATCH('Step 6 Quality Check'!C208,'Step 4 Stage Discharge'!E$26:E$126,1),9))*('Step 6 Quality Check'!C208-INDEX('Step 4 Stage Discharge'!E$26:M$126,MATCH('Step 6 Quality Check'!C208,'Step 4 Stage Discharge'!E$26:E$126,1),1))/(INDEX('Step 4 Stage Discharge'!E$26:M$126,MATCH('Step 6 Quality Check'!C208,'Step 4 Stage Discharge'!E$26:E$126,1)+1,1)-INDEX('Step 4 Stage Discharge'!E$26:M$126,MATCH('Step 6 Quality Check'!C208,'Step 4 Stage Discharge'!E$26:E$126,1),1))</f>
        <v>4.3639431710317386E-3</v>
      </c>
      <c r="F208" s="218">
        <f t="shared" ref="F208:F271" si="15">IF(E208*60*C$9&gt;C208,C208,E208*60*C$9)</f>
        <v>0</v>
      </c>
      <c r="G208" s="218">
        <f t="shared" ref="G208:G271" si="16">IF(C208-F208&lt;0,0,C208-F208)</f>
        <v>0</v>
      </c>
    </row>
    <row r="209" spans="1:7">
      <c r="A209" s="217">
        <f t="shared" ref="A209:A272" si="17">+A208+C$9</f>
        <v>965</v>
      </c>
      <c r="B209" s="216">
        <f t="shared" si="13"/>
        <v>99.1</v>
      </c>
      <c r="C209" s="218">
        <f t="shared" si="14"/>
        <v>0</v>
      </c>
      <c r="D209" s="219">
        <f>INDEX('Step 4 Stage Discharge'!E$26:F$126,MATCH(C209,'Step 4 Stage Discharge'!E$26:E$126,1),2)+(INDEX('Step 4 Stage Discharge'!E$26:F$126,MATCH(C209,'Step 4 Stage Discharge'!E$26:E$126,1)+1,2)-INDEX('Step 4 Stage Discharge'!E$26:F$126,MATCH(C209,'Step 4 Stage Discharge'!E$26:E$126,1),2))*(C209-INDEX('Step 4 Stage Discharge'!E$26:F$126,MATCH(C209,'Step 4 Stage Discharge'!E$26:E$126,1),1))/(INDEX('Step 4 Stage Discharge'!E$26:F$126,MATCH(C209,'Step 4 Stage Discharge'!E$26:E$126,1)+1,1)-INDEX('Step 4 Stage Discharge'!E$26:F$126,MATCH(C209,'Step 4 Stage Discharge'!E$26:E$126,1),1))</f>
        <v>0</v>
      </c>
      <c r="E209" s="219">
        <f>INDEX('Step 4 Stage Discharge'!E$26:M$126,MATCH(C209,'Step 4 Stage Discharge'!E$26:E$126,1),9)+(INDEX('Step 4 Stage Discharge'!E$26:M$126,MATCH('Step 6 Quality Check'!C209,'Step 4 Stage Discharge'!E$26:E$126,1)+1,9)-INDEX('Step 4 Stage Discharge'!E$26:M$126,MATCH('Step 6 Quality Check'!C209,'Step 4 Stage Discharge'!E$26:E$126,1),9))*('Step 6 Quality Check'!C209-INDEX('Step 4 Stage Discharge'!E$26:M$126,MATCH('Step 6 Quality Check'!C209,'Step 4 Stage Discharge'!E$26:E$126,1),1))/(INDEX('Step 4 Stage Discharge'!E$26:M$126,MATCH('Step 6 Quality Check'!C209,'Step 4 Stage Discharge'!E$26:E$126,1)+1,1)-INDEX('Step 4 Stage Discharge'!E$26:M$126,MATCH('Step 6 Quality Check'!C209,'Step 4 Stage Discharge'!E$26:E$126,1),1))</f>
        <v>4.3639431710317386E-3</v>
      </c>
      <c r="F209" s="218">
        <f t="shared" si="15"/>
        <v>0</v>
      </c>
      <c r="G209" s="218">
        <f t="shared" si="16"/>
        <v>0</v>
      </c>
    </row>
    <row r="210" spans="1:7">
      <c r="A210" s="217">
        <f t="shared" si="17"/>
        <v>970</v>
      </c>
      <c r="B210" s="216">
        <f t="shared" ref="B210:B273" si="18">C$6+D210</f>
        <v>99.1</v>
      </c>
      <c r="C210" s="218">
        <f t="shared" ref="C210:C273" si="19">+G209</f>
        <v>0</v>
      </c>
      <c r="D210" s="219">
        <f>INDEX('Step 4 Stage Discharge'!E$26:F$126,MATCH(C210,'Step 4 Stage Discharge'!E$26:E$126,1),2)+(INDEX('Step 4 Stage Discharge'!E$26:F$126,MATCH(C210,'Step 4 Stage Discharge'!E$26:E$126,1)+1,2)-INDEX('Step 4 Stage Discharge'!E$26:F$126,MATCH(C210,'Step 4 Stage Discharge'!E$26:E$126,1),2))*(C210-INDEX('Step 4 Stage Discharge'!E$26:F$126,MATCH(C210,'Step 4 Stage Discharge'!E$26:E$126,1),1))/(INDEX('Step 4 Stage Discharge'!E$26:F$126,MATCH(C210,'Step 4 Stage Discharge'!E$26:E$126,1)+1,1)-INDEX('Step 4 Stage Discharge'!E$26:F$126,MATCH(C210,'Step 4 Stage Discharge'!E$26:E$126,1),1))</f>
        <v>0</v>
      </c>
      <c r="E210" s="219">
        <f>INDEX('Step 4 Stage Discharge'!E$26:M$126,MATCH(C210,'Step 4 Stage Discharge'!E$26:E$126,1),9)+(INDEX('Step 4 Stage Discharge'!E$26:M$126,MATCH('Step 6 Quality Check'!C210,'Step 4 Stage Discharge'!E$26:E$126,1)+1,9)-INDEX('Step 4 Stage Discharge'!E$26:M$126,MATCH('Step 6 Quality Check'!C210,'Step 4 Stage Discharge'!E$26:E$126,1),9))*('Step 6 Quality Check'!C210-INDEX('Step 4 Stage Discharge'!E$26:M$126,MATCH('Step 6 Quality Check'!C210,'Step 4 Stage Discharge'!E$26:E$126,1),1))/(INDEX('Step 4 Stage Discharge'!E$26:M$126,MATCH('Step 6 Quality Check'!C210,'Step 4 Stage Discharge'!E$26:E$126,1)+1,1)-INDEX('Step 4 Stage Discharge'!E$26:M$126,MATCH('Step 6 Quality Check'!C210,'Step 4 Stage Discharge'!E$26:E$126,1),1))</f>
        <v>4.3639431710317386E-3</v>
      </c>
      <c r="F210" s="218">
        <f t="shared" si="15"/>
        <v>0</v>
      </c>
      <c r="G210" s="218">
        <f t="shared" si="16"/>
        <v>0</v>
      </c>
    </row>
    <row r="211" spans="1:7">
      <c r="A211" s="217">
        <f t="shared" si="17"/>
        <v>975</v>
      </c>
      <c r="B211" s="216">
        <f t="shared" si="18"/>
        <v>99.1</v>
      </c>
      <c r="C211" s="218">
        <f t="shared" si="19"/>
        <v>0</v>
      </c>
      <c r="D211" s="219">
        <f>INDEX('Step 4 Stage Discharge'!E$26:F$126,MATCH(C211,'Step 4 Stage Discharge'!E$26:E$126,1),2)+(INDEX('Step 4 Stage Discharge'!E$26:F$126,MATCH(C211,'Step 4 Stage Discharge'!E$26:E$126,1)+1,2)-INDEX('Step 4 Stage Discharge'!E$26:F$126,MATCH(C211,'Step 4 Stage Discharge'!E$26:E$126,1),2))*(C211-INDEX('Step 4 Stage Discharge'!E$26:F$126,MATCH(C211,'Step 4 Stage Discharge'!E$26:E$126,1),1))/(INDEX('Step 4 Stage Discharge'!E$26:F$126,MATCH(C211,'Step 4 Stage Discharge'!E$26:E$126,1)+1,1)-INDEX('Step 4 Stage Discharge'!E$26:F$126,MATCH(C211,'Step 4 Stage Discharge'!E$26:E$126,1),1))</f>
        <v>0</v>
      </c>
      <c r="E211" s="219">
        <f>INDEX('Step 4 Stage Discharge'!E$26:M$126,MATCH(C211,'Step 4 Stage Discharge'!E$26:E$126,1),9)+(INDEX('Step 4 Stage Discharge'!E$26:M$126,MATCH('Step 6 Quality Check'!C211,'Step 4 Stage Discharge'!E$26:E$126,1)+1,9)-INDEX('Step 4 Stage Discharge'!E$26:M$126,MATCH('Step 6 Quality Check'!C211,'Step 4 Stage Discharge'!E$26:E$126,1),9))*('Step 6 Quality Check'!C211-INDEX('Step 4 Stage Discharge'!E$26:M$126,MATCH('Step 6 Quality Check'!C211,'Step 4 Stage Discharge'!E$26:E$126,1),1))/(INDEX('Step 4 Stage Discharge'!E$26:M$126,MATCH('Step 6 Quality Check'!C211,'Step 4 Stage Discharge'!E$26:E$126,1)+1,1)-INDEX('Step 4 Stage Discharge'!E$26:M$126,MATCH('Step 6 Quality Check'!C211,'Step 4 Stage Discharge'!E$26:E$126,1),1))</f>
        <v>4.3639431710317386E-3</v>
      </c>
      <c r="F211" s="218">
        <f t="shared" si="15"/>
        <v>0</v>
      </c>
      <c r="G211" s="218">
        <f t="shared" si="16"/>
        <v>0</v>
      </c>
    </row>
    <row r="212" spans="1:7">
      <c r="A212" s="217">
        <f t="shared" si="17"/>
        <v>980</v>
      </c>
      <c r="B212" s="216">
        <f t="shared" si="18"/>
        <v>99.1</v>
      </c>
      <c r="C212" s="218">
        <f t="shared" si="19"/>
        <v>0</v>
      </c>
      <c r="D212" s="219">
        <f>INDEX('Step 4 Stage Discharge'!E$26:F$126,MATCH(C212,'Step 4 Stage Discharge'!E$26:E$126,1),2)+(INDEX('Step 4 Stage Discharge'!E$26:F$126,MATCH(C212,'Step 4 Stage Discharge'!E$26:E$126,1)+1,2)-INDEX('Step 4 Stage Discharge'!E$26:F$126,MATCH(C212,'Step 4 Stage Discharge'!E$26:E$126,1),2))*(C212-INDEX('Step 4 Stage Discharge'!E$26:F$126,MATCH(C212,'Step 4 Stage Discharge'!E$26:E$126,1),1))/(INDEX('Step 4 Stage Discharge'!E$26:F$126,MATCH(C212,'Step 4 Stage Discharge'!E$26:E$126,1)+1,1)-INDEX('Step 4 Stage Discharge'!E$26:F$126,MATCH(C212,'Step 4 Stage Discharge'!E$26:E$126,1),1))</f>
        <v>0</v>
      </c>
      <c r="E212" s="219">
        <f>INDEX('Step 4 Stage Discharge'!E$26:M$126,MATCH(C212,'Step 4 Stage Discharge'!E$26:E$126,1),9)+(INDEX('Step 4 Stage Discharge'!E$26:M$126,MATCH('Step 6 Quality Check'!C212,'Step 4 Stage Discharge'!E$26:E$126,1)+1,9)-INDEX('Step 4 Stage Discharge'!E$26:M$126,MATCH('Step 6 Quality Check'!C212,'Step 4 Stage Discharge'!E$26:E$126,1),9))*('Step 6 Quality Check'!C212-INDEX('Step 4 Stage Discharge'!E$26:M$126,MATCH('Step 6 Quality Check'!C212,'Step 4 Stage Discharge'!E$26:E$126,1),1))/(INDEX('Step 4 Stage Discharge'!E$26:M$126,MATCH('Step 6 Quality Check'!C212,'Step 4 Stage Discharge'!E$26:E$126,1)+1,1)-INDEX('Step 4 Stage Discharge'!E$26:M$126,MATCH('Step 6 Quality Check'!C212,'Step 4 Stage Discharge'!E$26:E$126,1),1))</f>
        <v>4.3639431710317386E-3</v>
      </c>
      <c r="F212" s="218">
        <f t="shared" si="15"/>
        <v>0</v>
      </c>
      <c r="G212" s="218">
        <f t="shared" si="16"/>
        <v>0</v>
      </c>
    </row>
    <row r="213" spans="1:7">
      <c r="A213" s="217">
        <f t="shared" si="17"/>
        <v>985</v>
      </c>
      <c r="B213" s="216">
        <f t="shared" si="18"/>
        <v>99.1</v>
      </c>
      <c r="C213" s="218">
        <f t="shared" si="19"/>
        <v>0</v>
      </c>
      <c r="D213" s="219">
        <f>INDEX('Step 4 Stage Discharge'!E$26:F$126,MATCH(C213,'Step 4 Stage Discharge'!E$26:E$126,1),2)+(INDEX('Step 4 Stage Discharge'!E$26:F$126,MATCH(C213,'Step 4 Stage Discharge'!E$26:E$126,1)+1,2)-INDEX('Step 4 Stage Discharge'!E$26:F$126,MATCH(C213,'Step 4 Stage Discharge'!E$26:E$126,1),2))*(C213-INDEX('Step 4 Stage Discharge'!E$26:F$126,MATCH(C213,'Step 4 Stage Discharge'!E$26:E$126,1),1))/(INDEX('Step 4 Stage Discharge'!E$26:F$126,MATCH(C213,'Step 4 Stage Discharge'!E$26:E$126,1)+1,1)-INDEX('Step 4 Stage Discharge'!E$26:F$126,MATCH(C213,'Step 4 Stage Discharge'!E$26:E$126,1),1))</f>
        <v>0</v>
      </c>
      <c r="E213" s="219">
        <f>INDEX('Step 4 Stage Discharge'!E$26:M$126,MATCH(C213,'Step 4 Stage Discharge'!E$26:E$126,1),9)+(INDEX('Step 4 Stage Discharge'!E$26:M$126,MATCH('Step 6 Quality Check'!C213,'Step 4 Stage Discharge'!E$26:E$126,1)+1,9)-INDEX('Step 4 Stage Discharge'!E$26:M$126,MATCH('Step 6 Quality Check'!C213,'Step 4 Stage Discharge'!E$26:E$126,1),9))*('Step 6 Quality Check'!C213-INDEX('Step 4 Stage Discharge'!E$26:M$126,MATCH('Step 6 Quality Check'!C213,'Step 4 Stage Discharge'!E$26:E$126,1),1))/(INDEX('Step 4 Stage Discharge'!E$26:M$126,MATCH('Step 6 Quality Check'!C213,'Step 4 Stage Discharge'!E$26:E$126,1)+1,1)-INDEX('Step 4 Stage Discharge'!E$26:M$126,MATCH('Step 6 Quality Check'!C213,'Step 4 Stage Discharge'!E$26:E$126,1),1))</f>
        <v>4.3639431710317386E-3</v>
      </c>
      <c r="F213" s="218">
        <f t="shared" si="15"/>
        <v>0</v>
      </c>
      <c r="G213" s="218">
        <f t="shared" si="16"/>
        <v>0</v>
      </c>
    </row>
    <row r="214" spans="1:7">
      <c r="A214" s="217">
        <f t="shared" si="17"/>
        <v>990</v>
      </c>
      <c r="B214" s="216">
        <f t="shared" si="18"/>
        <v>99.1</v>
      </c>
      <c r="C214" s="218">
        <f t="shared" si="19"/>
        <v>0</v>
      </c>
      <c r="D214" s="219">
        <f>INDEX('Step 4 Stage Discharge'!E$26:F$126,MATCH(C214,'Step 4 Stage Discharge'!E$26:E$126,1),2)+(INDEX('Step 4 Stage Discharge'!E$26:F$126,MATCH(C214,'Step 4 Stage Discharge'!E$26:E$126,1)+1,2)-INDEX('Step 4 Stage Discharge'!E$26:F$126,MATCH(C214,'Step 4 Stage Discharge'!E$26:E$126,1),2))*(C214-INDEX('Step 4 Stage Discharge'!E$26:F$126,MATCH(C214,'Step 4 Stage Discharge'!E$26:E$126,1),1))/(INDEX('Step 4 Stage Discharge'!E$26:F$126,MATCH(C214,'Step 4 Stage Discharge'!E$26:E$126,1)+1,1)-INDEX('Step 4 Stage Discharge'!E$26:F$126,MATCH(C214,'Step 4 Stage Discharge'!E$26:E$126,1),1))</f>
        <v>0</v>
      </c>
      <c r="E214" s="219">
        <f>INDEX('Step 4 Stage Discharge'!E$26:M$126,MATCH(C214,'Step 4 Stage Discharge'!E$26:E$126,1),9)+(INDEX('Step 4 Stage Discharge'!E$26:M$126,MATCH('Step 6 Quality Check'!C214,'Step 4 Stage Discharge'!E$26:E$126,1)+1,9)-INDEX('Step 4 Stage Discharge'!E$26:M$126,MATCH('Step 6 Quality Check'!C214,'Step 4 Stage Discharge'!E$26:E$126,1),9))*('Step 6 Quality Check'!C214-INDEX('Step 4 Stage Discharge'!E$26:M$126,MATCH('Step 6 Quality Check'!C214,'Step 4 Stage Discharge'!E$26:E$126,1),1))/(INDEX('Step 4 Stage Discharge'!E$26:M$126,MATCH('Step 6 Quality Check'!C214,'Step 4 Stage Discharge'!E$26:E$126,1)+1,1)-INDEX('Step 4 Stage Discharge'!E$26:M$126,MATCH('Step 6 Quality Check'!C214,'Step 4 Stage Discharge'!E$26:E$126,1),1))</f>
        <v>4.3639431710317386E-3</v>
      </c>
      <c r="F214" s="218">
        <f t="shared" si="15"/>
        <v>0</v>
      </c>
      <c r="G214" s="218">
        <f t="shared" si="16"/>
        <v>0</v>
      </c>
    </row>
    <row r="215" spans="1:7">
      <c r="A215" s="217">
        <f t="shared" si="17"/>
        <v>995</v>
      </c>
      <c r="B215" s="216">
        <f t="shared" si="18"/>
        <v>99.1</v>
      </c>
      <c r="C215" s="218">
        <f t="shared" si="19"/>
        <v>0</v>
      </c>
      <c r="D215" s="219">
        <f>INDEX('Step 4 Stage Discharge'!E$26:F$126,MATCH(C215,'Step 4 Stage Discharge'!E$26:E$126,1),2)+(INDEX('Step 4 Stage Discharge'!E$26:F$126,MATCH(C215,'Step 4 Stage Discharge'!E$26:E$126,1)+1,2)-INDEX('Step 4 Stage Discharge'!E$26:F$126,MATCH(C215,'Step 4 Stage Discharge'!E$26:E$126,1),2))*(C215-INDEX('Step 4 Stage Discharge'!E$26:F$126,MATCH(C215,'Step 4 Stage Discharge'!E$26:E$126,1),1))/(INDEX('Step 4 Stage Discharge'!E$26:F$126,MATCH(C215,'Step 4 Stage Discharge'!E$26:E$126,1)+1,1)-INDEX('Step 4 Stage Discharge'!E$26:F$126,MATCH(C215,'Step 4 Stage Discharge'!E$26:E$126,1),1))</f>
        <v>0</v>
      </c>
      <c r="E215" s="219">
        <f>INDEX('Step 4 Stage Discharge'!E$26:M$126,MATCH(C215,'Step 4 Stage Discharge'!E$26:E$126,1),9)+(INDEX('Step 4 Stage Discharge'!E$26:M$126,MATCH('Step 6 Quality Check'!C215,'Step 4 Stage Discharge'!E$26:E$126,1)+1,9)-INDEX('Step 4 Stage Discharge'!E$26:M$126,MATCH('Step 6 Quality Check'!C215,'Step 4 Stage Discharge'!E$26:E$126,1),9))*('Step 6 Quality Check'!C215-INDEX('Step 4 Stage Discharge'!E$26:M$126,MATCH('Step 6 Quality Check'!C215,'Step 4 Stage Discharge'!E$26:E$126,1),1))/(INDEX('Step 4 Stage Discharge'!E$26:M$126,MATCH('Step 6 Quality Check'!C215,'Step 4 Stage Discharge'!E$26:E$126,1)+1,1)-INDEX('Step 4 Stage Discharge'!E$26:M$126,MATCH('Step 6 Quality Check'!C215,'Step 4 Stage Discharge'!E$26:E$126,1),1))</f>
        <v>4.3639431710317386E-3</v>
      </c>
      <c r="F215" s="218">
        <f t="shared" si="15"/>
        <v>0</v>
      </c>
      <c r="G215" s="218">
        <f t="shared" si="16"/>
        <v>0</v>
      </c>
    </row>
    <row r="216" spans="1:7">
      <c r="A216" s="217">
        <f t="shared" si="17"/>
        <v>1000</v>
      </c>
      <c r="B216" s="216">
        <f t="shared" si="18"/>
        <v>99.1</v>
      </c>
      <c r="C216" s="218">
        <f t="shared" si="19"/>
        <v>0</v>
      </c>
      <c r="D216" s="219">
        <f>INDEX('Step 4 Stage Discharge'!E$26:F$126,MATCH(C216,'Step 4 Stage Discharge'!E$26:E$126,1),2)+(INDEX('Step 4 Stage Discharge'!E$26:F$126,MATCH(C216,'Step 4 Stage Discharge'!E$26:E$126,1)+1,2)-INDEX('Step 4 Stage Discharge'!E$26:F$126,MATCH(C216,'Step 4 Stage Discharge'!E$26:E$126,1),2))*(C216-INDEX('Step 4 Stage Discharge'!E$26:F$126,MATCH(C216,'Step 4 Stage Discharge'!E$26:E$126,1),1))/(INDEX('Step 4 Stage Discharge'!E$26:F$126,MATCH(C216,'Step 4 Stage Discharge'!E$26:E$126,1)+1,1)-INDEX('Step 4 Stage Discharge'!E$26:F$126,MATCH(C216,'Step 4 Stage Discharge'!E$26:E$126,1),1))</f>
        <v>0</v>
      </c>
      <c r="E216" s="219">
        <f>INDEX('Step 4 Stage Discharge'!E$26:M$126,MATCH(C216,'Step 4 Stage Discharge'!E$26:E$126,1),9)+(INDEX('Step 4 Stage Discharge'!E$26:M$126,MATCH('Step 6 Quality Check'!C216,'Step 4 Stage Discharge'!E$26:E$126,1)+1,9)-INDEX('Step 4 Stage Discharge'!E$26:M$126,MATCH('Step 6 Quality Check'!C216,'Step 4 Stage Discharge'!E$26:E$126,1),9))*('Step 6 Quality Check'!C216-INDEX('Step 4 Stage Discharge'!E$26:M$126,MATCH('Step 6 Quality Check'!C216,'Step 4 Stage Discharge'!E$26:E$126,1),1))/(INDEX('Step 4 Stage Discharge'!E$26:M$126,MATCH('Step 6 Quality Check'!C216,'Step 4 Stage Discharge'!E$26:E$126,1)+1,1)-INDEX('Step 4 Stage Discharge'!E$26:M$126,MATCH('Step 6 Quality Check'!C216,'Step 4 Stage Discharge'!E$26:E$126,1),1))</f>
        <v>4.3639431710317386E-3</v>
      </c>
      <c r="F216" s="218">
        <f t="shared" si="15"/>
        <v>0</v>
      </c>
      <c r="G216" s="218">
        <f t="shared" si="16"/>
        <v>0</v>
      </c>
    </row>
    <row r="217" spans="1:7">
      <c r="A217" s="217">
        <f t="shared" si="17"/>
        <v>1005</v>
      </c>
      <c r="B217" s="216">
        <f t="shared" si="18"/>
        <v>99.1</v>
      </c>
      <c r="C217" s="218">
        <f t="shared" si="19"/>
        <v>0</v>
      </c>
      <c r="D217" s="219">
        <f>INDEX('Step 4 Stage Discharge'!E$26:F$126,MATCH(C217,'Step 4 Stage Discharge'!E$26:E$126,1),2)+(INDEX('Step 4 Stage Discharge'!E$26:F$126,MATCH(C217,'Step 4 Stage Discharge'!E$26:E$126,1)+1,2)-INDEX('Step 4 Stage Discharge'!E$26:F$126,MATCH(C217,'Step 4 Stage Discharge'!E$26:E$126,1),2))*(C217-INDEX('Step 4 Stage Discharge'!E$26:F$126,MATCH(C217,'Step 4 Stage Discharge'!E$26:E$126,1),1))/(INDEX('Step 4 Stage Discharge'!E$26:F$126,MATCH(C217,'Step 4 Stage Discharge'!E$26:E$126,1)+1,1)-INDEX('Step 4 Stage Discharge'!E$26:F$126,MATCH(C217,'Step 4 Stage Discharge'!E$26:E$126,1),1))</f>
        <v>0</v>
      </c>
      <c r="E217" s="219">
        <f>INDEX('Step 4 Stage Discharge'!E$26:M$126,MATCH(C217,'Step 4 Stage Discharge'!E$26:E$126,1),9)+(INDEX('Step 4 Stage Discharge'!E$26:M$126,MATCH('Step 6 Quality Check'!C217,'Step 4 Stage Discharge'!E$26:E$126,1)+1,9)-INDEX('Step 4 Stage Discharge'!E$26:M$126,MATCH('Step 6 Quality Check'!C217,'Step 4 Stage Discharge'!E$26:E$126,1),9))*('Step 6 Quality Check'!C217-INDEX('Step 4 Stage Discharge'!E$26:M$126,MATCH('Step 6 Quality Check'!C217,'Step 4 Stage Discharge'!E$26:E$126,1),1))/(INDEX('Step 4 Stage Discharge'!E$26:M$126,MATCH('Step 6 Quality Check'!C217,'Step 4 Stage Discharge'!E$26:E$126,1)+1,1)-INDEX('Step 4 Stage Discharge'!E$26:M$126,MATCH('Step 6 Quality Check'!C217,'Step 4 Stage Discharge'!E$26:E$126,1),1))</f>
        <v>4.3639431710317386E-3</v>
      </c>
      <c r="F217" s="218">
        <f t="shared" si="15"/>
        <v>0</v>
      </c>
      <c r="G217" s="218">
        <f t="shared" si="16"/>
        <v>0</v>
      </c>
    </row>
    <row r="218" spans="1:7">
      <c r="A218" s="217">
        <f t="shared" si="17"/>
        <v>1010</v>
      </c>
      <c r="B218" s="216">
        <f t="shared" si="18"/>
        <v>99.1</v>
      </c>
      <c r="C218" s="218">
        <f t="shared" si="19"/>
        <v>0</v>
      </c>
      <c r="D218" s="219">
        <f>INDEX('Step 4 Stage Discharge'!E$26:F$126,MATCH(C218,'Step 4 Stage Discharge'!E$26:E$126,1),2)+(INDEX('Step 4 Stage Discharge'!E$26:F$126,MATCH(C218,'Step 4 Stage Discharge'!E$26:E$126,1)+1,2)-INDEX('Step 4 Stage Discharge'!E$26:F$126,MATCH(C218,'Step 4 Stage Discharge'!E$26:E$126,1),2))*(C218-INDEX('Step 4 Stage Discharge'!E$26:F$126,MATCH(C218,'Step 4 Stage Discharge'!E$26:E$126,1),1))/(INDEX('Step 4 Stage Discharge'!E$26:F$126,MATCH(C218,'Step 4 Stage Discharge'!E$26:E$126,1)+1,1)-INDEX('Step 4 Stage Discharge'!E$26:F$126,MATCH(C218,'Step 4 Stage Discharge'!E$26:E$126,1),1))</f>
        <v>0</v>
      </c>
      <c r="E218" s="219">
        <f>INDEX('Step 4 Stage Discharge'!E$26:M$126,MATCH(C218,'Step 4 Stage Discharge'!E$26:E$126,1),9)+(INDEX('Step 4 Stage Discharge'!E$26:M$126,MATCH('Step 6 Quality Check'!C218,'Step 4 Stage Discharge'!E$26:E$126,1)+1,9)-INDEX('Step 4 Stage Discharge'!E$26:M$126,MATCH('Step 6 Quality Check'!C218,'Step 4 Stage Discharge'!E$26:E$126,1),9))*('Step 6 Quality Check'!C218-INDEX('Step 4 Stage Discharge'!E$26:M$126,MATCH('Step 6 Quality Check'!C218,'Step 4 Stage Discharge'!E$26:E$126,1),1))/(INDEX('Step 4 Stage Discharge'!E$26:M$126,MATCH('Step 6 Quality Check'!C218,'Step 4 Stage Discharge'!E$26:E$126,1)+1,1)-INDEX('Step 4 Stage Discharge'!E$26:M$126,MATCH('Step 6 Quality Check'!C218,'Step 4 Stage Discharge'!E$26:E$126,1),1))</f>
        <v>4.3639431710317386E-3</v>
      </c>
      <c r="F218" s="218">
        <f t="shared" si="15"/>
        <v>0</v>
      </c>
      <c r="G218" s="218">
        <f t="shared" si="16"/>
        <v>0</v>
      </c>
    </row>
    <row r="219" spans="1:7">
      <c r="A219" s="217">
        <f t="shared" si="17"/>
        <v>1015</v>
      </c>
      <c r="B219" s="216">
        <f t="shared" si="18"/>
        <v>99.1</v>
      </c>
      <c r="C219" s="218">
        <f t="shared" si="19"/>
        <v>0</v>
      </c>
      <c r="D219" s="219">
        <f>INDEX('Step 4 Stage Discharge'!E$26:F$126,MATCH(C219,'Step 4 Stage Discharge'!E$26:E$126,1),2)+(INDEX('Step 4 Stage Discharge'!E$26:F$126,MATCH(C219,'Step 4 Stage Discharge'!E$26:E$126,1)+1,2)-INDEX('Step 4 Stage Discharge'!E$26:F$126,MATCH(C219,'Step 4 Stage Discharge'!E$26:E$126,1),2))*(C219-INDEX('Step 4 Stage Discharge'!E$26:F$126,MATCH(C219,'Step 4 Stage Discharge'!E$26:E$126,1),1))/(INDEX('Step 4 Stage Discharge'!E$26:F$126,MATCH(C219,'Step 4 Stage Discharge'!E$26:E$126,1)+1,1)-INDEX('Step 4 Stage Discharge'!E$26:F$126,MATCH(C219,'Step 4 Stage Discharge'!E$26:E$126,1),1))</f>
        <v>0</v>
      </c>
      <c r="E219" s="219">
        <f>INDEX('Step 4 Stage Discharge'!E$26:M$126,MATCH(C219,'Step 4 Stage Discharge'!E$26:E$126,1),9)+(INDEX('Step 4 Stage Discharge'!E$26:M$126,MATCH('Step 6 Quality Check'!C219,'Step 4 Stage Discharge'!E$26:E$126,1)+1,9)-INDEX('Step 4 Stage Discharge'!E$26:M$126,MATCH('Step 6 Quality Check'!C219,'Step 4 Stage Discharge'!E$26:E$126,1),9))*('Step 6 Quality Check'!C219-INDEX('Step 4 Stage Discharge'!E$26:M$126,MATCH('Step 6 Quality Check'!C219,'Step 4 Stage Discharge'!E$26:E$126,1),1))/(INDEX('Step 4 Stage Discharge'!E$26:M$126,MATCH('Step 6 Quality Check'!C219,'Step 4 Stage Discharge'!E$26:E$126,1)+1,1)-INDEX('Step 4 Stage Discharge'!E$26:M$126,MATCH('Step 6 Quality Check'!C219,'Step 4 Stage Discharge'!E$26:E$126,1),1))</f>
        <v>4.3639431710317386E-3</v>
      </c>
      <c r="F219" s="218">
        <f t="shared" si="15"/>
        <v>0</v>
      </c>
      <c r="G219" s="218">
        <f t="shared" si="16"/>
        <v>0</v>
      </c>
    </row>
    <row r="220" spans="1:7">
      <c r="A220" s="217">
        <f t="shared" si="17"/>
        <v>1020</v>
      </c>
      <c r="B220" s="216">
        <f t="shared" si="18"/>
        <v>99.1</v>
      </c>
      <c r="C220" s="218">
        <f t="shared" si="19"/>
        <v>0</v>
      </c>
      <c r="D220" s="219">
        <f>INDEX('Step 4 Stage Discharge'!E$26:F$126,MATCH(C220,'Step 4 Stage Discharge'!E$26:E$126,1),2)+(INDEX('Step 4 Stage Discharge'!E$26:F$126,MATCH(C220,'Step 4 Stage Discharge'!E$26:E$126,1)+1,2)-INDEX('Step 4 Stage Discharge'!E$26:F$126,MATCH(C220,'Step 4 Stage Discharge'!E$26:E$126,1),2))*(C220-INDEX('Step 4 Stage Discharge'!E$26:F$126,MATCH(C220,'Step 4 Stage Discharge'!E$26:E$126,1),1))/(INDEX('Step 4 Stage Discharge'!E$26:F$126,MATCH(C220,'Step 4 Stage Discharge'!E$26:E$126,1)+1,1)-INDEX('Step 4 Stage Discharge'!E$26:F$126,MATCH(C220,'Step 4 Stage Discharge'!E$26:E$126,1),1))</f>
        <v>0</v>
      </c>
      <c r="E220" s="219">
        <f>INDEX('Step 4 Stage Discharge'!E$26:M$126,MATCH(C220,'Step 4 Stage Discharge'!E$26:E$126,1),9)+(INDEX('Step 4 Stage Discharge'!E$26:M$126,MATCH('Step 6 Quality Check'!C220,'Step 4 Stage Discharge'!E$26:E$126,1)+1,9)-INDEX('Step 4 Stage Discharge'!E$26:M$126,MATCH('Step 6 Quality Check'!C220,'Step 4 Stage Discharge'!E$26:E$126,1),9))*('Step 6 Quality Check'!C220-INDEX('Step 4 Stage Discharge'!E$26:M$126,MATCH('Step 6 Quality Check'!C220,'Step 4 Stage Discharge'!E$26:E$126,1),1))/(INDEX('Step 4 Stage Discharge'!E$26:M$126,MATCH('Step 6 Quality Check'!C220,'Step 4 Stage Discharge'!E$26:E$126,1)+1,1)-INDEX('Step 4 Stage Discharge'!E$26:M$126,MATCH('Step 6 Quality Check'!C220,'Step 4 Stage Discharge'!E$26:E$126,1),1))</f>
        <v>4.3639431710317386E-3</v>
      </c>
      <c r="F220" s="218">
        <f t="shared" si="15"/>
        <v>0</v>
      </c>
      <c r="G220" s="218">
        <f t="shared" si="16"/>
        <v>0</v>
      </c>
    </row>
    <row r="221" spans="1:7">
      <c r="A221" s="217">
        <f t="shared" si="17"/>
        <v>1025</v>
      </c>
      <c r="B221" s="216">
        <f t="shared" si="18"/>
        <v>99.1</v>
      </c>
      <c r="C221" s="218">
        <f t="shared" si="19"/>
        <v>0</v>
      </c>
      <c r="D221" s="219">
        <f>INDEX('Step 4 Stage Discharge'!E$26:F$126,MATCH(C221,'Step 4 Stage Discharge'!E$26:E$126,1),2)+(INDEX('Step 4 Stage Discharge'!E$26:F$126,MATCH(C221,'Step 4 Stage Discharge'!E$26:E$126,1)+1,2)-INDEX('Step 4 Stage Discharge'!E$26:F$126,MATCH(C221,'Step 4 Stage Discharge'!E$26:E$126,1),2))*(C221-INDEX('Step 4 Stage Discharge'!E$26:F$126,MATCH(C221,'Step 4 Stage Discharge'!E$26:E$126,1),1))/(INDEX('Step 4 Stage Discharge'!E$26:F$126,MATCH(C221,'Step 4 Stage Discharge'!E$26:E$126,1)+1,1)-INDEX('Step 4 Stage Discharge'!E$26:F$126,MATCH(C221,'Step 4 Stage Discharge'!E$26:E$126,1),1))</f>
        <v>0</v>
      </c>
      <c r="E221" s="219">
        <f>INDEX('Step 4 Stage Discharge'!E$26:M$126,MATCH(C221,'Step 4 Stage Discharge'!E$26:E$126,1),9)+(INDEX('Step 4 Stage Discharge'!E$26:M$126,MATCH('Step 6 Quality Check'!C221,'Step 4 Stage Discharge'!E$26:E$126,1)+1,9)-INDEX('Step 4 Stage Discharge'!E$26:M$126,MATCH('Step 6 Quality Check'!C221,'Step 4 Stage Discharge'!E$26:E$126,1),9))*('Step 6 Quality Check'!C221-INDEX('Step 4 Stage Discharge'!E$26:M$126,MATCH('Step 6 Quality Check'!C221,'Step 4 Stage Discharge'!E$26:E$126,1),1))/(INDEX('Step 4 Stage Discharge'!E$26:M$126,MATCH('Step 6 Quality Check'!C221,'Step 4 Stage Discharge'!E$26:E$126,1)+1,1)-INDEX('Step 4 Stage Discharge'!E$26:M$126,MATCH('Step 6 Quality Check'!C221,'Step 4 Stage Discharge'!E$26:E$126,1),1))</f>
        <v>4.3639431710317386E-3</v>
      </c>
      <c r="F221" s="218">
        <f t="shared" si="15"/>
        <v>0</v>
      </c>
      <c r="G221" s="218">
        <f t="shared" si="16"/>
        <v>0</v>
      </c>
    </row>
    <row r="222" spans="1:7">
      <c r="A222" s="217">
        <f t="shared" si="17"/>
        <v>1030</v>
      </c>
      <c r="B222" s="216">
        <f t="shared" si="18"/>
        <v>99.1</v>
      </c>
      <c r="C222" s="218">
        <f t="shared" si="19"/>
        <v>0</v>
      </c>
      <c r="D222" s="219">
        <f>INDEX('Step 4 Stage Discharge'!E$26:F$126,MATCH(C222,'Step 4 Stage Discharge'!E$26:E$126,1),2)+(INDEX('Step 4 Stage Discharge'!E$26:F$126,MATCH(C222,'Step 4 Stage Discharge'!E$26:E$126,1)+1,2)-INDEX('Step 4 Stage Discharge'!E$26:F$126,MATCH(C222,'Step 4 Stage Discharge'!E$26:E$126,1),2))*(C222-INDEX('Step 4 Stage Discharge'!E$26:F$126,MATCH(C222,'Step 4 Stage Discharge'!E$26:E$126,1),1))/(INDEX('Step 4 Stage Discharge'!E$26:F$126,MATCH(C222,'Step 4 Stage Discharge'!E$26:E$126,1)+1,1)-INDEX('Step 4 Stage Discharge'!E$26:F$126,MATCH(C222,'Step 4 Stage Discharge'!E$26:E$126,1),1))</f>
        <v>0</v>
      </c>
      <c r="E222" s="219">
        <f>INDEX('Step 4 Stage Discharge'!E$26:M$126,MATCH(C222,'Step 4 Stage Discharge'!E$26:E$126,1),9)+(INDEX('Step 4 Stage Discharge'!E$26:M$126,MATCH('Step 6 Quality Check'!C222,'Step 4 Stage Discharge'!E$26:E$126,1)+1,9)-INDEX('Step 4 Stage Discharge'!E$26:M$126,MATCH('Step 6 Quality Check'!C222,'Step 4 Stage Discharge'!E$26:E$126,1),9))*('Step 6 Quality Check'!C222-INDEX('Step 4 Stage Discharge'!E$26:M$126,MATCH('Step 6 Quality Check'!C222,'Step 4 Stage Discharge'!E$26:E$126,1),1))/(INDEX('Step 4 Stage Discharge'!E$26:M$126,MATCH('Step 6 Quality Check'!C222,'Step 4 Stage Discharge'!E$26:E$126,1)+1,1)-INDEX('Step 4 Stage Discharge'!E$26:M$126,MATCH('Step 6 Quality Check'!C222,'Step 4 Stage Discharge'!E$26:E$126,1),1))</f>
        <v>4.3639431710317386E-3</v>
      </c>
      <c r="F222" s="218">
        <f t="shared" si="15"/>
        <v>0</v>
      </c>
      <c r="G222" s="218">
        <f t="shared" si="16"/>
        <v>0</v>
      </c>
    </row>
    <row r="223" spans="1:7">
      <c r="A223" s="217">
        <f t="shared" si="17"/>
        <v>1035</v>
      </c>
      <c r="B223" s="216">
        <f t="shared" si="18"/>
        <v>99.1</v>
      </c>
      <c r="C223" s="218">
        <f t="shared" si="19"/>
        <v>0</v>
      </c>
      <c r="D223" s="219">
        <f>INDEX('Step 4 Stage Discharge'!E$26:F$126,MATCH(C223,'Step 4 Stage Discharge'!E$26:E$126,1),2)+(INDEX('Step 4 Stage Discharge'!E$26:F$126,MATCH(C223,'Step 4 Stage Discharge'!E$26:E$126,1)+1,2)-INDEX('Step 4 Stage Discharge'!E$26:F$126,MATCH(C223,'Step 4 Stage Discharge'!E$26:E$126,1),2))*(C223-INDEX('Step 4 Stage Discharge'!E$26:F$126,MATCH(C223,'Step 4 Stage Discharge'!E$26:E$126,1),1))/(INDEX('Step 4 Stage Discharge'!E$26:F$126,MATCH(C223,'Step 4 Stage Discharge'!E$26:E$126,1)+1,1)-INDEX('Step 4 Stage Discharge'!E$26:F$126,MATCH(C223,'Step 4 Stage Discharge'!E$26:E$126,1),1))</f>
        <v>0</v>
      </c>
      <c r="E223" s="219">
        <f>INDEX('Step 4 Stage Discharge'!E$26:M$126,MATCH(C223,'Step 4 Stage Discharge'!E$26:E$126,1),9)+(INDEX('Step 4 Stage Discharge'!E$26:M$126,MATCH('Step 6 Quality Check'!C223,'Step 4 Stage Discharge'!E$26:E$126,1)+1,9)-INDEX('Step 4 Stage Discharge'!E$26:M$126,MATCH('Step 6 Quality Check'!C223,'Step 4 Stage Discharge'!E$26:E$126,1),9))*('Step 6 Quality Check'!C223-INDEX('Step 4 Stage Discharge'!E$26:M$126,MATCH('Step 6 Quality Check'!C223,'Step 4 Stage Discharge'!E$26:E$126,1),1))/(INDEX('Step 4 Stage Discharge'!E$26:M$126,MATCH('Step 6 Quality Check'!C223,'Step 4 Stage Discharge'!E$26:E$126,1)+1,1)-INDEX('Step 4 Stage Discharge'!E$26:M$126,MATCH('Step 6 Quality Check'!C223,'Step 4 Stage Discharge'!E$26:E$126,1),1))</f>
        <v>4.3639431710317386E-3</v>
      </c>
      <c r="F223" s="218">
        <f t="shared" si="15"/>
        <v>0</v>
      </c>
      <c r="G223" s="218">
        <f t="shared" si="16"/>
        <v>0</v>
      </c>
    </row>
    <row r="224" spans="1:7">
      <c r="A224" s="217">
        <f t="shared" si="17"/>
        <v>1040</v>
      </c>
      <c r="B224" s="216">
        <f t="shared" si="18"/>
        <v>99.1</v>
      </c>
      <c r="C224" s="218">
        <f t="shared" si="19"/>
        <v>0</v>
      </c>
      <c r="D224" s="219">
        <f>INDEX('Step 4 Stage Discharge'!E$26:F$126,MATCH(C224,'Step 4 Stage Discharge'!E$26:E$126,1),2)+(INDEX('Step 4 Stage Discharge'!E$26:F$126,MATCH(C224,'Step 4 Stage Discharge'!E$26:E$126,1)+1,2)-INDEX('Step 4 Stage Discharge'!E$26:F$126,MATCH(C224,'Step 4 Stage Discharge'!E$26:E$126,1),2))*(C224-INDEX('Step 4 Stage Discharge'!E$26:F$126,MATCH(C224,'Step 4 Stage Discharge'!E$26:E$126,1),1))/(INDEX('Step 4 Stage Discharge'!E$26:F$126,MATCH(C224,'Step 4 Stage Discharge'!E$26:E$126,1)+1,1)-INDEX('Step 4 Stage Discharge'!E$26:F$126,MATCH(C224,'Step 4 Stage Discharge'!E$26:E$126,1),1))</f>
        <v>0</v>
      </c>
      <c r="E224" s="219">
        <f>INDEX('Step 4 Stage Discharge'!E$26:M$126,MATCH(C224,'Step 4 Stage Discharge'!E$26:E$126,1),9)+(INDEX('Step 4 Stage Discharge'!E$26:M$126,MATCH('Step 6 Quality Check'!C224,'Step 4 Stage Discharge'!E$26:E$126,1)+1,9)-INDEX('Step 4 Stage Discharge'!E$26:M$126,MATCH('Step 6 Quality Check'!C224,'Step 4 Stage Discharge'!E$26:E$126,1),9))*('Step 6 Quality Check'!C224-INDEX('Step 4 Stage Discharge'!E$26:M$126,MATCH('Step 6 Quality Check'!C224,'Step 4 Stage Discharge'!E$26:E$126,1),1))/(INDEX('Step 4 Stage Discharge'!E$26:M$126,MATCH('Step 6 Quality Check'!C224,'Step 4 Stage Discharge'!E$26:E$126,1)+1,1)-INDEX('Step 4 Stage Discharge'!E$26:M$126,MATCH('Step 6 Quality Check'!C224,'Step 4 Stage Discharge'!E$26:E$126,1),1))</f>
        <v>4.3639431710317386E-3</v>
      </c>
      <c r="F224" s="218">
        <f t="shared" si="15"/>
        <v>0</v>
      </c>
      <c r="G224" s="218">
        <f t="shared" si="16"/>
        <v>0</v>
      </c>
    </row>
    <row r="225" spans="1:7">
      <c r="A225" s="217">
        <f t="shared" si="17"/>
        <v>1045</v>
      </c>
      <c r="B225" s="216">
        <f t="shared" si="18"/>
        <v>99.1</v>
      </c>
      <c r="C225" s="218">
        <f t="shared" si="19"/>
        <v>0</v>
      </c>
      <c r="D225" s="219">
        <f>INDEX('Step 4 Stage Discharge'!E$26:F$126,MATCH(C225,'Step 4 Stage Discharge'!E$26:E$126,1),2)+(INDEX('Step 4 Stage Discharge'!E$26:F$126,MATCH(C225,'Step 4 Stage Discharge'!E$26:E$126,1)+1,2)-INDEX('Step 4 Stage Discharge'!E$26:F$126,MATCH(C225,'Step 4 Stage Discharge'!E$26:E$126,1),2))*(C225-INDEX('Step 4 Stage Discharge'!E$26:F$126,MATCH(C225,'Step 4 Stage Discharge'!E$26:E$126,1),1))/(INDEX('Step 4 Stage Discharge'!E$26:F$126,MATCH(C225,'Step 4 Stage Discharge'!E$26:E$126,1)+1,1)-INDEX('Step 4 Stage Discharge'!E$26:F$126,MATCH(C225,'Step 4 Stage Discharge'!E$26:E$126,1),1))</f>
        <v>0</v>
      </c>
      <c r="E225" s="219">
        <f>INDEX('Step 4 Stage Discharge'!E$26:M$126,MATCH(C225,'Step 4 Stage Discharge'!E$26:E$126,1),9)+(INDEX('Step 4 Stage Discharge'!E$26:M$126,MATCH('Step 6 Quality Check'!C225,'Step 4 Stage Discharge'!E$26:E$126,1)+1,9)-INDEX('Step 4 Stage Discharge'!E$26:M$126,MATCH('Step 6 Quality Check'!C225,'Step 4 Stage Discharge'!E$26:E$126,1),9))*('Step 6 Quality Check'!C225-INDEX('Step 4 Stage Discharge'!E$26:M$126,MATCH('Step 6 Quality Check'!C225,'Step 4 Stage Discharge'!E$26:E$126,1),1))/(INDEX('Step 4 Stage Discharge'!E$26:M$126,MATCH('Step 6 Quality Check'!C225,'Step 4 Stage Discharge'!E$26:E$126,1)+1,1)-INDEX('Step 4 Stage Discharge'!E$26:M$126,MATCH('Step 6 Quality Check'!C225,'Step 4 Stage Discharge'!E$26:E$126,1),1))</f>
        <v>4.3639431710317386E-3</v>
      </c>
      <c r="F225" s="218">
        <f t="shared" si="15"/>
        <v>0</v>
      </c>
      <c r="G225" s="218">
        <f t="shared" si="16"/>
        <v>0</v>
      </c>
    </row>
    <row r="226" spans="1:7">
      <c r="A226" s="217">
        <f t="shared" si="17"/>
        <v>1050</v>
      </c>
      <c r="B226" s="216">
        <f t="shared" si="18"/>
        <v>99.1</v>
      </c>
      <c r="C226" s="218">
        <f t="shared" si="19"/>
        <v>0</v>
      </c>
      <c r="D226" s="219">
        <f>INDEX('Step 4 Stage Discharge'!E$26:F$126,MATCH(C226,'Step 4 Stage Discharge'!E$26:E$126,1),2)+(INDEX('Step 4 Stage Discharge'!E$26:F$126,MATCH(C226,'Step 4 Stage Discharge'!E$26:E$126,1)+1,2)-INDEX('Step 4 Stage Discharge'!E$26:F$126,MATCH(C226,'Step 4 Stage Discharge'!E$26:E$126,1),2))*(C226-INDEX('Step 4 Stage Discharge'!E$26:F$126,MATCH(C226,'Step 4 Stage Discharge'!E$26:E$126,1),1))/(INDEX('Step 4 Stage Discharge'!E$26:F$126,MATCH(C226,'Step 4 Stage Discharge'!E$26:E$126,1)+1,1)-INDEX('Step 4 Stage Discharge'!E$26:F$126,MATCH(C226,'Step 4 Stage Discharge'!E$26:E$126,1),1))</f>
        <v>0</v>
      </c>
      <c r="E226" s="219">
        <f>INDEX('Step 4 Stage Discharge'!E$26:M$126,MATCH(C226,'Step 4 Stage Discharge'!E$26:E$126,1),9)+(INDEX('Step 4 Stage Discharge'!E$26:M$126,MATCH('Step 6 Quality Check'!C226,'Step 4 Stage Discharge'!E$26:E$126,1)+1,9)-INDEX('Step 4 Stage Discharge'!E$26:M$126,MATCH('Step 6 Quality Check'!C226,'Step 4 Stage Discharge'!E$26:E$126,1),9))*('Step 6 Quality Check'!C226-INDEX('Step 4 Stage Discharge'!E$26:M$126,MATCH('Step 6 Quality Check'!C226,'Step 4 Stage Discharge'!E$26:E$126,1),1))/(INDEX('Step 4 Stage Discharge'!E$26:M$126,MATCH('Step 6 Quality Check'!C226,'Step 4 Stage Discharge'!E$26:E$126,1)+1,1)-INDEX('Step 4 Stage Discharge'!E$26:M$126,MATCH('Step 6 Quality Check'!C226,'Step 4 Stage Discharge'!E$26:E$126,1),1))</f>
        <v>4.3639431710317386E-3</v>
      </c>
      <c r="F226" s="218">
        <f t="shared" si="15"/>
        <v>0</v>
      </c>
      <c r="G226" s="218">
        <f t="shared" si="16"/>
        <v>0</v>
      </c>
    </row>
    <row r="227" spans="1:7">
      <c r="A227" s="217">
        <f t="shared" si="17"/>
        <v>1055</v>
      </c>
      <c r="B227" s="216">
        <f t="shared" si="18"/>
        <v>99.1</v>
      </c>
      <c r="C227" s="218">
        <f t="shared" si="19"/>
        <v>0</v>
      </c>
      <c r="D227" s="219">
        <f>INDEX('Step 4 Stage Discharge'!E$26:F$126,MATCH(C227,'Step 4 Stage Discharge'!E$26:E$126,1),2)+(INDEX('Step 4 Stage Discharge'!E$26:F$126,MATCH(C227,'Step 4 Stage Discharge'!E$26:E$126,1)+1,2)-INDEX('Step 4 Stage Discharge'!E$26:F$126,MATCH(C227,'Step 4 Stage Discharge'!E$26:E$126,1),2))*(C227-INDEX('Step 4 Stage Discharge'!E$26:F$126,MATCH(C227,'Step 4 Stage Discharge'!E$26:E$126,1),1))/(INDEX('Step 4 Stage Discharge'!E$26:F$126,MATCH(C227,'Step 4 Stage Discharge'!E$26:E$126,1)+1,1)-INDEX('Step 4 Stage Discharge'!E$26:F$126,MATCH(C227,'Step 4 Stage Discharge'!E$26:E$126,1),1))</f>
        <v>0</v>
      </c>
      <c r="E227" s="219">
        <f>INDEX('Step 4 Stage Discharge'!E$26:M$126,MATCH(C227,'Step 4 Stage Discharge'!E$26:E$126,1),9)+(INDEX('Step 4 Stage Discharge'!E$26:M$126,MATCH('Step 6 Quality Check'!C227,'Step 4 Stage Discharge'!E$26:E$126,1)+1,9)-INDEX('Step 4 Stage Discharge'!E$26:M$126,MATCH('Step 6 Quality Check'!C227,'Step 4 Stage Discharge'!E$26:E$126,1),9))*('Step 6 Quality Check'!C227-INDEX('Step 4 Stage Discharge'!E$26:M$126,MATCH('Step 6 Quality Check'!C227,'Step 4 Stage Discharge'!E$26:E$126,1),1))/(INDEX('Step 4 Stage Discharge'!E$26:M$126,MATCH('Step 6 Quality Check'!C227,'Step 4 Stage Discharge'!E$26:E$126,1)+1,1)-INDEX('Step 4 Stage Discharge'!E$26:M$126,MATCH('Step 6 Quality Check'!C227,'Step 4 Stage Discharge'!E$26:E$126,1),1))</f>
        <v>4.3639431710317386E-3</v>
      </c>
      <c r="F227" s="218">
        <f t="shared" si="15"/>
        <v>0</v>
      </c>
      <c r="G227" s="218">
        <f t="shared" si="16"/>
        <v>0</v>
      </c>
    </row>
    <row r="228" spans="1:7">
      <c r="A228" s="217">
        <f t="shared" si="17"/>
        <v>1060</v>
      </c>
      <c r="B228" s="216">
        <f t="shared" si="18"/>
        <v>99.1</v>
      </c>
      <c r="C228" s="218">
        <f t="shared" si="19"/>
        <v>0</v>
      </c>
      <c r="D228" s="219">
        <f>INDEX('Step 4 Stage Discharge'!E$26:F$126,MATCH(C228,'Step 4 Stage Discharge'!E$26:E$126,1),2)+(INDEX('Step 4 Stage Discharge'!E$26:F$126,MATCH(C228,'Step 4 Stage Discharge'!E$26:E$126,1)+1,2)-INDEX('Step 4 Stage Discharge'!E$26:F$126,MATCH(C228,'Step 4 Stage Discharge'!E$26:E$126,1),2))*(C228-INDEX('Step 4 Stage Discharge'!E$26:F$126,MATCH(C228,'Step 4 Stage Discharge'!E$26:E$126,1),1))/(INDEX('Step 4 Stage Discharge'!E$26:F$126,MATCH(C228,'Step 4 Stage Discharge'!E$26:E$126,1)+1,1)-INDEX('Step 4 Stage Discharge'!E$26:F$126,MATCH(C228,'Step 4 Stage Discharge'!E$26:E$126,1),1))</f>
        <v>0</v>
      </c>
      <c r="E228" s="219">
        <f>INDEX('Step 4 Stage Discharge'!E$26:M$126,MATCH(C228,'Step 4 Stage Discharge'!E$26:E$126,1),9)+(INDEX('Step 4 Stage Discharge'!E$26:M$126,MATCH('Step 6 Quality Check'!C228,'Step 4 Stage Discharge'!E$26:E$126,1)+1,9)-INDEX('Step 4 Stage Discharge'!E$26:M$126,MATCH('Step 6 Quality Check'!C228,'Step 4 Stage Discharge'!E$26:E$126,1),9))*('Step 6 Quality Check'!C228-INDEX('Step 4 Stage Discharge'!E$26:M$126,MATCH('Step 6 Quality Check'!C228,'Step 4 Stage Discharge'!E$26:E$126,1),1))/(INDEX('Step 4 Stage Discharge'!E$26:M$126,MATCH('Step 6 Quality Check'!C228,'Step 4 Stage Discharge'!E$26:E$126,1)+1,1)-INDEX('Step 4 Stage Discharge'!E$26:M$126,MATCH('Step 6 Quality Check'!C228,'Step 4 Stage Discharge'!E$26:E$126,1),1))</f>
        <v>4.3639431710317386E-3</v>
      </c>
      <c r="F228" s="218">
        <f t="shared" si="15"/>
        <v>0</v>
      </c>
      <c r="G228" s="218">
        <f t="shared" si="16"/>
        <v>0</v>
      </c>
    </row>
    <row r="229" spans="1:7">
      <c r="A229" s="217">
        <f t="shared" si="17"/>
        <v>1065</v>
      </c>
      <c r="B229" s="216">
        <f t="shared" si="18"/>
        <v>99.1</v>
      </c>
      <c r="C229" s="218">
        <f t="shared" si="19"/>
        <v>0</v>
      </c>
      <c r="D229" s="219">
        <f>INDEX('Step 4 Stage Discharge'!E$26:F$126,MATCH(C229,'Step 4 Stage Discharge'!E$26:E$126,1),2)+(INDEX('Step 4 Stage Discharge'!E$26:F$126,MATCH(C229,'Step 4 Stage Discharge'!E$26:E$126,1)+1,2)-INDEX('Step 4 Stage Discharge'!E$26:F$126,MATCH(C229,'Step 4 Stage Discharge'!E$26:E$126,1),2))*(C229-INDEX('Step 4 Stage Discharge'!E$26:F$126,MATCH(C229,'Step 4 Stage Discharge'!E$26:E$126,1),1))/(INDEX('Step 4 Stage Discharge'!E$26:F$126,MATCH(C229,'Step 4 Stage Discharge'!E$26:E$126,1)+1,1)-INDEX('Step 4 Stage Discharge'!E$26:F$126,MATCH(C229,'Step 4 Stage Discharge'!E$26:E$126,1),1))</f>
        <v>0</v>
      </c>
      <c r="E229" s="219">
        <f>INDEX('Step 4 Stage Discharge'!E$26:M$126,MATCH(C229,'Step 4 Stage Discharge'!E$26:E$126,1),9)+(INDEX('Step 4 Stage Discharge'!E$26:M$126,MATCH('Step 6 Quality Check'!C229,'Step 4 Stage Discharge'!E$26:E$126,1)+1,9)-INDEX('Step 4 Stage Discharge'!E$26:M$126,MATCH('Step 6 Quality Check'!C229,'Step 4 Stage Discharge'!E$26:E$126,1),9))*('Step 6 Quality Check'!C229-INDEX('Step 4 Stage Discharge'!E$26:M$126,MATCH('Step 6 Quality Check'!C229,'Step 4 Stage Discharge'!E$26:E$126,1),1))/(INDEX('Step 4 Stage Discharge'!E$26:M$126,MATCH('Step 6 Quality Check'!C229,'Step 4 Stage Discharge'!E$26:E$126,1)+1,1)-INDEX('Step 4 Stage Discharge'!E$26:M$126,MATCH('Step 6 Quality Check'!C229,'Step 4 Stage Discharge'!E$26:E$126,1),1))</f>
        <v>4.3639431710317386E-3</v>
      </c>
      <c r="F229" s="218">
        <f t="shared" si="15"/>
        <v>0</v>
      </c>
      <c r="G229" s="218">
        <f t="shared" si="16"/>
        <v>0</v>
      </c>
    </row>
    <row r="230" spans="1:7">
      <c r="A230" s="217">
        <f t="shared" si="17"/>
        <v>1070</v>
      </c>
      <c r="B230" s="216">
        <f t="shared" si="18"/>
        <v>99.1</v>
      </c>
      <c r="C230" s="218">
        <f t="shared" si="19"/>
        <v>0</v>
      </c>
      <c r="D230" s="219">
        <f>INDEX('Step 4 Stage Discharge'!E$26:F$126,MATCH(C230,'Step 4 Stage Discharge'!E$26:E$126,1),2)+(INDEX('Step 4 Stage Discharge'!E$26:F$126,MATCH(C230,'Step 4 Stage Discharge'!E$26:E$126,1)+1,2)-INDEX('Step 4 Stage Discharge'!E$26:F$126,MATCH(C230,'Step 4 Stage Discharge'!E$26:E$126,1),2))*(C230-INDEX('Step 4 Stage Discharge'!E$26:F$126,MATCH(C230,'Step 4 Stage Discharge'!E$26:E$126,1),1))/(INDEX('Step 4 Stage Discharge'!E$26:F$126,MATCH(C230,'Step 4 Stage Discharge'!E$26:E$126,1)+1,1)-INDEX('Step 4 Stage Discharge'!E$26:F$126,MATCH(C230,'Step 4 Stage Discharge'!E$26:E$126,1),1))</f>
        <v>0</v>
      </c>
      <c r="E230" s="219">
        <f>INDEX('Step 4 Stage Discharge'!E$26:M$126,MATCH(C230,'Step 4 Stage Discharge'!E$26:E$126,1),9)+(INDEX('Step 4 Stage Discharge'!E$26:M$126,MATCH('Step 6 Quality Check'!C230,'Step 4 Stage Discharge'!E$26:E$126,1)+1,9)-INDEX('Step 4 Stage Discharge'!E$26:M$126,MATCH('Step 6 Quality Check'!C230,'Step 4 Stage Discharge'!E$26:E$126,1),9))*('Step 6 Quality Check'!C230-INDEX('Step 4 Stage Discharge'!E$26:M$126,MATCH('Step 6 Quality Check'!C230,'Step 4 Stage Discharge'!E$26:E$126,1),1))/(INDEX('Step 4 Stage Discharge'!E$26:M$126,MATCH('Step 6 Quality Check'!C230,'Step 4 Stage Discharge'!E$26:E$126,1)+1,1)-INDEX('Step 4 Stage Discharge'!E$26:M$126,MATCH('Step 6 Quality Check'!C230,'Step 4 Stage Discharge'!E$26:E$126,1),1))</f>
        <v>4.3639431710317386E-3</v>
      </c>
      <c r="F230" s="218">
        <f t="shared" si="15"/>
        <v>0</v>
      </c>
      <c r="G230" s="218">
        <f t="shared" si="16"/>
        <v>0</v>
      </c>
    </row>
    <row r="231" spans="1:7">
      <c r="A231" s="217">
        <f t="shared" si="17"/>
        <v>1075</v>
      </c>
      <c r="B231" s="216">
        <f t="shared" si="18"/>
        <v>99.1</v>
      </c>
      <c r="C231" s="218">
        <f t="shared" si="19"/>
        <v>0</v>
      </c>
      <c r="D231" s="219">
        <f>INDEX('Step 4 Stage Discharge'!E$26:F$126,MATCH(C231,'Step 4 Stage Discharge'!E$26:E$126,1),2)+(INDEX('Step 4 Stage Discharge'!E$26:F$126,MATCH(C231,'Step 4 Stage Discharge'!E$26:E$126,1)+1,2)-INDEX('Step 4 Stage Discharge'!E$26:F$126,MATCH(C231,'Step 4 Stage Discharge'!E$26:E$126,1),2))*(C231-INDEX('Step 4 Stage Discharge'!E$26:F$126,MATCH(C231,'Step 4 Stage Discharge'!E$26:E$126,1),1))/(INDEX('Step 4 Stage Discharge'!E$26:F$126,MATCH(C231,'Step 4 Stage Discharge'!E$26:E$126,1)+1,1)-INDEX('Step 4 Stage Discharge'!E$26:F$126,MATCH(C231,'Step 4 Stage Discharge'!E$26:E$126,1),1))</f>
        <v>0</v>
      </c>
      <c r="E231" s="219">
        <f>INDEX('Step 4 Stage Discharge'!E$26:M$126,MATCH(C231,'Step 4 Stage Discharge'!E$26:E$126,1),9)+(INDEX('Step 4 Stage Discharge'!E$26:M$126,MATCH('Step 6 Quality Check'!C231,'Step 4 Stage Discharge'!E$26:E$126,1)+1,9)-INDEX('Step 4 Stage Discharge'!E$26:M$126,MATCH('Step 6 Quality Check'!C231,'Step 4 Stage Discharge'!E$26:E$126,1),9))*('Step 6 Quality Check'!C231-INDEX('Step 4 Stage Discharge'!E$26:M$126,MATCH('Step 6 Quality Check'!C231,'Step 4 Stage Discharge'!E$26:E$126,1),1))/(INDEX('Step 4 Stage Discharge'!E$26:M$126,MATCH('Step 6 Quality Check'!C231,'Step 4 Stage Discharge'!E$26:E$126,1)+1,1)-INDEX('Step 4 Stage Discharge'!E$26:M$126,MATCH('Step 6 Quality Check'!C231,'Step 4 Stage Discharge'!E$26:E$126,1),1))</f>
        <v>4.3639431710317386E-3</v>
      </c>
      <c r="F231" s="218">
        <f t="shared" si="15"/>
        <v>0</v>
      </c>
      <c r="G231" s="218">
        <f t="shared" si="16"/>
        <v>0</v>
      </c>
    </row>
    <row r="232" spans="1:7">
      <c r="A232" s="217">
        <f t="shared" si="17"/>
        <v>1080</v>
      </c>
      <c r="B232" s="216">
        <f t="shared" si="18"/>
        <v>99.1</v>
      </c>
      <c r="C232" s="218">
        <f t="shared" si="19"/>
        <v>0</v>
      </c>
      <c r="D232" s="219">
        <f>INDEX('Step 4 Stage Discharge'!E$26:F$126,MATCH(C232,'Step 4 Stage Discharge'!E$26:E$126,1),2)+(INDEX('Step 4 Stage Discharge'!E$26:F$126,MATCH(C232,'Step 4 Stage Discharge'!E$26:E$126,1)+1,2)-INDEX('Step 4 Stage Discharge'!E$26:F$126,MATCH(C232,'Step 4 Stage Discharge'!E$26:E$126,1),2))*(C232-INDEX('Step 4 Stage Discharge'!E$26:F$126,MATCH(C232,'Step 4 Stage Discharge'!E$26:E$126,1),1))/(INDEX('Step 4 Stage Discharge'!E$26:F$126,MATCH(C232,'Step 4 Stage Discharge'!E$26:E$126,1)+1,1)-INDEX('Step 4 Stage Discharge'!E$26:F$126,MATCH(C232,'Step 4 Stage Discharge'!E$26:E$126,1),1))</f>
        <v>0</v>
      </c>
      <c r="E232" s="219">
        <f>INDEX('Step 4 Stage Discharge'!E$26:M$126,MATCH(C232,'Step 4 Stage Discharge'!E$26:E$126,1),9)+(INDEX('Step 4 Stage Discharge'!E$26:M$126,MATCH('Step 6 Quality Check'!C232,'Step 4 Stage Discharge'!E$26:E$126,1)+1,9)-INDEX('Step 4 Stage Discharge'!E$26:M$126,MATCH('Step 6 Quality Check'!C232,'Step 4 Stage Discharge'!E$26:E$126,1),9))*('Step 6 Quality Check'!C232-INDEX('Step 4 Stage Discharge'!E$26:M$126,MATCH('Step 6 Quality Check'!C232,'Step 4 Stage Discharge'!E$26:E$126,1),1))/(INDEX('Step 4 Stage Discharge'!E$26:M$126,MATCH('Step 6 Quality Check'!C232,'Step 4 Stage Discharge'!E$26:E$126,1)+1,1)-INDEX('Step 4 Stage Discharge'!E$26:M$126,MATCH('Step 6 Quality Check'!C232,'Step 4 Stage Discharge'!E$26:E$126,1),1))</f>
        <v>4.3639431710317386E-3</v>
      </c>
      <c r="F232" s="218">
        <f t="shared" si="15"/>
        <v>0</v>
      </c>
      <c r="G232" s="218">
        <f t="shared" si="16"/>
        <v>0</v>
      </c>
    </row>
    <row r="233" spans="1:7">
      <c r="A233" s="217">
        <f t="shared" si="17"/>
        <v>1085</v>
      </c>
      <c r="B233" s="216">
        <f t="shared" si="18"/>
        <v>99.1</v>
      </c>
      <c r="C233" s="218">
        <f t="shared" si="19"/>
        <v>0</v>
      </c>
      <c r="D233" s="219">
        <f>INDEX('Step 4 Stage Discharge'!E$26:F$126,MATCH(C233,'Step 4 Stage Discharge'!E$26:E$126,1),2)+(INDEX('Step 4 Stage Discharge'!E$26:F$126,MATCH(C233,'Step 4 Stage Discharge'!E$26:E$126,1)+1,2)-INDEX('Step 4 Stage Discharge'!E$26:F$126,MATCH(C233,'Step 4 Stage Discharge'!E$26:E$126,1),2))*(C233-INDEX('Step 4 Stage Discharge'!E$26:F$126,MATCH(C233,'Step 4 Stage Discharge'!E$26:E$126,1),1))/(INDEX('Step 4 Stage Discharge'!E$26:F$126,MATCH(C233,'Step 4 Stage Discharge'!E$26:E$126,1)+1,1)-INDEX('Step 4 Stage Discharge'!E$26:F$126,MATCH(C233,'Step 4 Stage Discharge'!E$26:E$126,1),1))</f>
        <v>0</v>
      </c>
      <c r="E233" s="219">
        <f>INDEX('Step 4 Stage Discharge'!E$26:M$126,MATCH(C233,'Step 4 Stage Discharge'!E$26:E$126,1),9)+(INDEX('Step 4 Stage Discharge'!E$26:M$126,MATCH('Step 6 Quality Check'!C233,'Step 4 Stage Discharge'!E$26:E$126,1)+1,9)-INDEX('Step 4 Stage Discharge'!E$26:M$126,MATCH('Step 6 Quality Check'!C233,'Step 4 Stage Discharge'!E$26:E$126,1),9))*('Step 6 Quality Check'!C233-INDEX('Step 4 Stage Discharge'!E$26:M$126,MATCH('Step 6 Quality Check'!C233,'Step 4 Stage Discharge'!E$26:E$126,1),1))/(INDEX('Step 4 Stage Discharge'!E$26:M$126,MATCH('Step 6 Quality Check'!C233,'Step 4 Stage Discharge'!E$26:E$126,1)+1,1)-INDEX('Step 4 Stage Discharge'!E$26:M$126,MATCH('Step 6 Quality Check'!C233,'Step 4 Stage Discharge'!E$26:E$126,1),1))</f>
        <v>4.3639431710317386E-3</v>
      </c>
      <c r="F233" s="218">
        <f t="shared" si="15"/>
        <v>0</v>
      </c>
      <c r="G233" s="218">
        <f t="shared" si="16"/>
        <v>0</v>
      </c>
    </row>
    <row r="234" spans="1:7">
      <c r="A234" s="217">
        <f t="shared" si="17"/>
        <v>1090</v>
      </c>
      <c r="B234" s="216">
        <f t="shared" si="18"/>
        <v>99.1</v>
      </c>
      <c r="C234" s="218">
        <f t="shared" si="19"/>
        <v>0</v>
      </c>
      <c r="D234" s="219">
        <f>INDEX('Step 4 Stage Discharge'!E$26:F$126,MATCH(C234,'Step 4 Stage Discharge'!E$26:E$126,1),2)+(INDEX('Step 4 Stage Discharge'!E$26:F$126,MATCH(C234,'Step 4 Stage Discharge'!E$26:E$126,1)+1,2)-INDEX('Step 4 Stage Discharge'!E$26:F$126,MATCH(C234,'Step 4 Stage Discharge'!E$26:E$126,1),2))*(C234-INDEX('Step 4 Stage Discharge'!E$26:F$126,MATCH(C234,'Step 4 Stage Discharge'!E$26:E$126,1),1))/(INDEX('Step 4 Stage Discharge'!E$26:F$126,MATCH(C234,'Step 4 Stage Discharge'!E$26:E$126,1)+1,1)-INDEX('Step 4 Stage Discharge'!E$26:F$126,MATCH(C234,'Step 4 Stage Discharge'!E$26:E$126,1),1))</f>
        <v>0</v>
      </c>
      <c r="E234" s="219">
        <f>INDEX('Step 4 Stage Discharge'!E$26:M$126,MATCH(C234,'Step 4 Stage Discharge'!E$26:E$126,1),9)+(INDEX('Step 4 Stage Discharge'!E$26:M$126,MATCH('Step 6 Quality Check'!C234,'Step 4 Stage Discharge'!E$26:E$126,1)+1,9)-INDEX('Step 4 Stage Discharge'!E$26:M$126,MATCH('Step 6 Quality Check'!C234,'Step 4 Stage Discharge'!E$26:E$126,1),9))*('Step 6 Quality Check'!C234-INDEX('Step 4 Stage Discharge'!E$26:M$126,MATCH('Step 6 Quality Check'!C234,'Step 4 Stage Discharge'!E$26:E$126,1),1))/(INDEX('Step 4 Stage Discharge'!E$26:M$126,MATCH('Step 6 Quality Check'!C234,'Step 4 Stage Discharge'!E$26:E$126,1)+1,1)-INDEX('Step 4 Stage Discharge'!E$26:M$126,MATCH('Step 6 Quality Check'!C234,'Step 4 Stage Discharge'!E$26:E$126,1),1))</f>
        <v>4.3639431710317386E-3</v>
      </c>
      <c r="F234" s="218">
        <f t="shared" si="15"/>
        <v>0</v>
      </c>
      <c r="G234" s="218">
        <f t="shared" si="16"/>
        <v>0</v>
      </c>
    </row>
    <row r="235" spans="1:7">
      <c r="A235" s="217">
        <f t="shared" si="17"/>
        <v>1095</v>
      </c>
      <c r="B235" s="216">
        <f t="shared" si="18"/>
        <v>99.1</v>
      </c>
      <c r="C235" s="218">
        <f t="shared" si="19"/>
        <v>0</v>
      </c>
      <c r="D235" s="219">
        <f>INDEX('Step 4 Stage Discharge'!E$26:F$126,MATCH(C235,'Step 4 Stage Discharge'!E$26:E$126,1),2)+(INDEX('Step 4 Stage Discharge'!E$26:F$126,MATCH(C235,'Step 4 Stage Discharge'!E$26:E$126,1)+1,2)-INDEX('Step 4 Stage Discharge'!E$26:F$126,MATCH(C235,'Step 4 Stage Discharge'!E$26:E$126,1),2))*(C235-INDEX('Step 4 Stage Discharge'!E$26:F$126,MATCH(C235,'Step 4 Stage Discharge'!E$26:E$126,1),1))/(INDEX('Step 4 Stage Discharge'!E$26:F$126,MATCH(C235,'Step 4 Stage Discharge'!E$26:E$126,1)+1,1)-INDEX('Step 4 Stage Discharge'!E$26:F$126,MATCH(C235,'Step 4 Stage Discharge'!E$26:E$126,1),1))</f>
        <v>0</v>
      </c>
      <c r="E235" s="219">
        <f>INDEX('Step 4 Stage Discharge'!E$26:M$126,MATCH(C235,'Step 4 Stage Discharge'!E$26:E$126,1),9)+(INDEX('Step 4 Stage Discharge'!E$26:M$126,MATCH('Step 6 Quality Check'!C235,'Step 4 Stage Discharge'!E$26:E$126,1)+1,9)-INDEX('Step 4 Stage Discharge'!E$26:M$126,MATCH('Step 6 Quality Check'!C235,'Step 4 Stage Discharge'!E$26:E$126,1),9))*('Step 6 Quality Check'!C235-INDEX('Step 4 Stage Discharge'!E$26:M$126,MATCH('Step 6 Quality Check'!C235,'Step 4 Stage Discharge'!E$26:E$126,1),1))/(INDEX('Step 4 Stage Discharge'!E$26:M$126,MATCH('Step 6 Quality Check'!C235,'Step 4 Stage Discharge'!E$26:E$126,1)+1,1)-INDEX('Step 4 Stage Discharge'!E$26:M$126,MATCH('Step 6 Quality Check'!C235,'Step 4 Stage Discharge'!E$26:E$126,1),1))</f>
        <v>4.3639431710317386E-3</v>
      </c>
      <c r="F235" s="218">
        <f t="shared" si="15"/>
        <v>0</v>
      </c>
      <c r="G235" s="218">
        <f t="shared" si="16"/>
        <v>0</v>
      </c>
    </row>
    <row r="236" spans="1:7">
      <c r="A236" s="217">
        <f t="shared" si="17"/>
        <v>1100</v>
      </c>
      <c r="B236" s="216">
        <f t="shared" si="18"/>
        <v>99.1</v>
      </c>
      <c r="C236" s="218">
        <f t="shared" si="19"/>
        <v>0</v>
      </c>
      <c r="D236" s="219">
        <f>INDEX('Step 4 Stage Discharge'!E$26:F$126,MATCH(C236,'Step 4 Stage Discharge'!E$26:E$126,1),2)+(INDEX('Step 4 Stage Discharge'!E$26:F$126,MATCH(C236,'Step 4 Stage Discharge'!E$26:E$126,1)+1,2)-INDEX('Step 4 Stage Discharge'!E$26:F$126,MATCH(C236,'Step 4 Stage Discharge'!E$26:E$126,1),2))*(C236-INDEX('Step 4 Stage Discharge'!E$26:F$126,MATCH(C236,'Step 4 Stage Discharge'!E$26:E$126,1),1))/(INDEX('Step 4 Stage Discharge'!E$26:F$126,MATCH(C236,'Step 4 Stage Discharge'!E$26:E$126,1)+1,1)-INDEX('Step 4 Stage Discharge'!E$26:F$126,MATCH(C236,'Step 4 Stage Discharge'!E$26:E$126,1),1))</f>
        <v>0</v>
      </c>
      <c r="E236" s="219">
        <f>INDEX('Step 4 Stage Discharge'!E$26:M$126,MATCH(C236,'Step 4 Stage Discharge'!E$26:E$126,1),9)+(INDEX('Step 4 Stage Discharge'!E$26:M$126,MATCH('Step 6 Quality Check'!C236,'Step 4 Stage Discharge'!E$26:E$126,1)+1,9)-INDEX('Step 4 Stage Discharge'!E$26:M$126,MATCH('Step 6 Quality Check'!C236,'Step 4 Stage Discharge'!E$26:E$126,1),9))*('Step 6 Quality Check'!C236-INDEX('Step 4 Stage Discharge'!E$26:M$126,MATCH('Step 6 Quality Check'!C236,'Step 4 Stage Discharge'!E$26:E$126,1),1))/(INDEX('Step 4 Stage Discharge'!E$26:M$126,MATCH('Step 6 Quality Check'!C236,'Step 4 Stage Discharge'!E$26:E$126,1)+1,1)-INDEX('Step 4 Stage Discharge'!E$26:M$126,MATCH('Step 6 Quality Check'!C236,'Step 4 Stage Discharge'!E$26:E$126,1),1))</f>
        <v>4.3639431710317386E-3</v>
      </c>
      <c r="F236" s="218">
        <f t="shared" si="15"/>
        <v>0</v>
      </c>
      <c r="G236" s="218">
        <f t="shared" si="16"/>
        <v>0</v>
      </c>
    </row>
    <row r="237" spans="1:7">
      <c r="A237" s="217">
        <f t="shared" si="17"/>
        <v>1105</v>
      </c>
      <c r="B237" s="216">
        <f t="shared" si="18"/>
        <v>99.1</v>
      </c>
      <c r="C237" s="218">
        <f t="shared" si="19"/>
        <v>0</v>
      </c>
      <c r="D237" s="219">
        <f>INDEX('Step 4 Stage Discharge'!E$26:F$126,MATCH(C237,'Step 4 Stage Discharge'!E$26:E$126,1),2)+(INDEX('Step 4 Stage Discharge'!E$26:F$126,MATCH(C237,'Step 4 Stage Discharge'!E$26:E$126,1)+1,2)-INDEX('Step 4 Stage Discharge'!E$26:F$126,MATCH(C237,'Step 4 Stage Discharge'!E$26:E$126,1),2))*(C237-INDEX('Step 4 Stage Discharge'!E$26:F$126,MATCH(C237,'Step 4 Stage Discharge'!E$26:E$126,1),1))/(INDEX('Step 4 Stage Discharge'!E$26:F$126,MATCH(C237,'Step 4 Stage Discharge'!E$26:E$126,1)+1,1)-INDEX('Step 4 Stage Discharge'!E$26:F$126,MATCH(C237,'Step 4 Stage Discharge'!E$26:E$126,1),1))</f>
        <v>0</v>
      </c>
      <c r="E237" s="219">
        <f>INDEX('Step 4 Stage Discharge'!E$26:M$126,MATCH(C237,'Step 4 Stage Discharge'!E$26:E$126,1),9)+(INDEX('Step 4 Stage Discharge'!E$26:M$126,MATCH('Step 6 Quality Check'!C237,'Step 4 Stage Discharge'!E$26:E$126,1)+1,9)-INDEX('Step 4 Stage Discharge'!E$26:M$126,MATCH('Step 6 Quality Check'!C237,'Step 4 Stage Discharge'!E$26:E$126,1),9))*('Step 6 Quality Check'!C237-INDEX('Step 4 Stage Discharge'!E$26:M$126,MATCH('Step 6 Quality Check'!C237,'Step 4 Stage Discharge'!E$26:E$126,1),1))/(INDEX('Step 4 Stage Discharge'!E$26:M$126,MATCH('Step 6 Quality Check'!C237,'Step 4 Stage Discharge'!E$26:E$126,1)+1,1)-INDEX('Step 4 Stage Discharge'!E$26:M$126,MATCH('Step 6 Quality Check'!C237,'Step 4 Stage Discharge'!E$26:E$126,1),1))</f>
        <v>4.3639431710317386E-3</v>
      </c>
      <c r="F237" s="218">
        <f t="shared" si="15"/>
        <v>0</v>
      </c>
      <c r="G237" s="218">
        <f t="shared" si="16"/>
        <v>0</v>
      </c>
    </row>
    <row r="238" spans="1:7">
      <c r="A238" s="217">
        <f t="shared" si="17"/>
        <v>1110</v>
      </c>
      <c r="B238" s="216">
        <f t="shared" si="18"/>
        <v>99.1</v>
      </c>
      <c r="C238" s="218">
        <f t="shared" si="19"/>
        <v>0</v>
      </c>
      <c r="D238" s="219">
        <f>INDEX('Step 4 Stage Discharge'!E$26:F$126,MATCH(C238,'Step 4 Stage Discharge'!E$26:E$126,1),2)+(INDEX('Step 4 Stage Discharge'!E$26:F$126,MATCH(C238,'Step 4 Stage Discharge'!E$26:E$126,1)+1,2)-INDEX('Step 4 Stage Discharge'!E$26:F$126,MATCH(C238,'Step 4 Stage Discharge'!E$26:E$126,1),2))*(C238-INDEX('Step 4 Stage Discharge'!E$26:F$126,MATCH(C238,'Step 4 Stage Discharge'!E$26:E$126,1),1))/(INDEX('Step 4 Stage Discharge'!E$26:F$126,MATCH(C238,'Step 4 Stage Discharge'!E$26:E$126,1)+1,1)-INDEX('Step 4 Stage Discharge'!E$26:F$126,MATCH(C238,'Step 4 Stage Discharge'!E$26:E$126,1),1))</f>
        <v>0</v>
      </c>
      <c r="E238" s="219">
        <f>INDEX('Step 4 Stage Discharge'!E$26:M$126,MATCH(C238,'Step 4 Stage Discharge'!E$26:E$126,1),9)+(INDEX('Step 4 Stage Discharge'!E$26:M$126,MATCH('Step 6 Quality Check'!C238,'Step 4 Stage Discharge'!E$26:E$126,1)+1,9)-INDEX('Step 4 Stage Discharge'!E$26:M$126,MATCH('Step 6 Quality Check'!C238,'Step 4 Stage Discharge'!E$26:E$126,1),9))*('Step 6 Quality Check'!C238-INDEX('Step 4 Stage Discharge'!E$26:M$126,MATCH('Step 6 Quality Check'!C238,'Step 4 Stage Discharge'!E$26:E$126,1),1))/(INDEX('Step 4 Stage Discharge'!E$26:M$126,MATCH('Step 6 Quality Check'!C238,'Step 4 Stage Discharge'!E$26:E$126,1)+1,1)-INDEX('Step 4 Stage Discharge'!E$26:M$126,MATCH('Step 6 Quality Check'!C238,'Step 4 Stage Discharge'!E$26:E$126,1),1))</f>
        <v>4.3639431710317386E-3</v>
      </c>
      <c r="F238" s="218">
        <f t="shared" si="15"/>
        <v>0</v>
      </c>
      <c r="G238" s="218">
        <f t="shared" si="16"/>
        <v>0</v>
      </c>
    </row>
    <row r="239" spans="1:7">
      <c r="A239" s="217">
        <f t="shared" si="17"/>
        <v>1115</v>
      </c>
      <c r="B239" s="216">
        <f t="shared" si="18"/>
        <v>99.1</v>
      </c>
      <c r="C239" s="218">
        <f t="shared" si="19"/>
        <v>0</v>
      </c>
      <c r="D239" s="219">
        <f>INDEX('Step 4 Stage Discharge'!E$26:F$126,MATCH(C239,'Step 4 Stage Discharge'!E$26:E$126,1),2)+(INDEX('Step 4 Stage Discharge'!E$26:F$126,MATCH(C239,'Step 4 Stage Discharge'!E$26:E$126,1)+1,2)-INDEX('Step 4 Stage Discharge'!E$26:F$126,MATCH(C239,'Step 4 Stage Discharge'!E$26:E$126,1),2))*(C239-INDEX('Step 4 Stage Discharge'!E$26:F$126,MATCH(C239,'Step 4 Stage Discharge'!E$26:E$126,1),1))/(INDEX('Step 4 Stage Discharge'!E$26:F$126,MATCH(C239,'Step 4 Stage Discharge'!E$26:E$126,1)+1,1)-INDEX('Step 4 Stage Discharge'!E$26:F$126,MATCH(C239,'Step 4 Stage Discharge'!E$26:E$126,1),1))</f>
        <v>0</v>
      </c>
      <c r="E239" s="219">
        <f>INDEX('Step 4 Stage Discharge'!E$26:M$126,MATCH(C239,'Step 4 Stage Discharge'!E$26:E$126,1),9)+(INDEX('Step 4 Stage Discharge'!E$26:M$126,MATCH('Step 6 Quality Check'!C239,'Step 4 Stage Discharge'!E$26:E$126,1)+1,9)-INDEX('Step 4 Stage Discharge'!E$26:M$126,MATCH('Step 6 Quality Check'!C239,'Step 4 Stage Discharge'!E$26:E$126,1),9))*('Step 6 Quality Check'!C239-INDEX('Step 4 Stage Discharge'!E$26:M$126,MATCH('Step 6 Quality Check'!C239,'Step 4 Stage Discharge'!E$26:E$126,1),1))/(INDEX('Step 4 Stage Discharge'!E$26:M$126,MATCH('Step 6 Quality Check'!C239,'Step 4 Stage Discharge'!E$26:E$126,1)+1,1)-INDEX('Step 4 Stage Discharge'!E$26:M$126,MATCH('Step 6 Quality Check'!C239,'Step 4 Stage Discharge'!E$26:E$126,1),1))</f>
        <v>4.3639431710317386E-3</v>
      </c>
      <c r="F239" s="218">
        <f t="shared" si="15"/>
        <v>0</v>
      </c>
      <c r="G239" s="218">
        <f t="shared" si="16"/>
        <v>0</v>
      </c>
    </row>
    <row r="240" spans="1:7">
      <c r="A240" s="217">
        <f t="shared" si="17"/>
        <v>1120</v>
      </c>
      <c r="B240" s="216">
        <f t="shared" si="18"/>
        <v>99.1</v>
      </c>
      <c r="C240" s="218">
        <f t="shared" si="19"/>
        <v>0</v>
      </c>
      <c r="D240" s="219">
        <f>INDEX('Step 4 Stage Discharge'!E$26:F$126,MATCH(C240,'Step 4 Stage Discharge'!E$26:E$126,1),2)+(INDEX('Step 4 Stage Discharge'!E$26:F$126,MATCH(C240,'Step 4 Stage Discharge'!E$26:E$126,1)+1,2)-INDEX('Step 4 Stage Discharge'!E$26:F$126,MATCH(C240,'Step 4 Stage Discharge'!E$26:E$126,1),2))*(C240-INDEX('Step 4 Stage Discharge'!E$26:F$126,MATCH(C240,'Step 4 Stage Discharge'!E$26:E$126,1),1))/(INDEX('Step 4 Stage Discharge'!E$26:F$126,MATCH(C240,'Step 4 Stage Discharge'!E$26:E$126,1)+1,1)-INDEX('Step 4 Stage Discharge'!E$26:F$126,MATCH(C240,'Step 4 Stage Discharge'!E$26:E$126,1),1))</f>
        <v>0</v>
      </c>
      <c r="E240" s="219">
        <f>INDEX('Step 4 Stage Discharge'!E$26:M$126,MATCH(C240,'Step 4 Stage Discharge'!E$26:E$126,1),9)+(INDEX('Step 4 Stage Discharge'!E$26:M$126,MATCH('Step 6 Quality Check'!C240,'Step 4 Stage Discharge'!E$26:E$126,1)+1,9)-INDEX('Step 4 Stage Discharge'!E$26:M$126,MATCH('Step 6 Quality Check'!C240,'Step 4 Stage Discharge'!E$26:E$126,1),9))*('Step 6 Quality Check'!C240-INDEX('Step 4 Stage Discharge'!E$26:M$126,MATCH('Step 6 Quality Check'!C240,'Step 4 Stage Discharge'!E$26:E$126,1),1))/(INDEX('Step 4 Stage Discharge'!E$26:M$126,MATCH('Step 6 Quality Check'!C240,'Step 4 Stage Discharge'!E$26:E$126,1)+1,1)-INDEX('Step 4 Stage Discharge'!E$26:M$126,MATCH('Step 6 Quality Check'!C240,'Step 4 Stage Discharge'!E$26:E$126,1),1))</f>
        <v>4.3639431710317386E-3</v>
      </c>
      <c r="F240" s="218">
        <f t="shared" si="15"/>
        <v>0</v>
      </c>
      <c r="G240" s="218">
        <f t="shared" si="16"/>
        <v>0</v>
      </c>
    </row>
    <row r="241" spans="1:7">
      <c r="A241" s="217">
        <f t="shared" si="17"/>
        <v>1125</v>
      </c>
      <c r="B241" s="216">
        <f t="shared" si="18"/>
        <v>99.1</v>
      </c>
      <c r="C241" s="218">
        <f t="shared" si="19"/>
        <v>0</v>
      </c>
      <c r="D241" s="219">
        <f>INDEX('Step 4 Stage Discharge'!E$26:F$126,MATCH(C241,'Step 4 Stage Discharge'!E$26:E$126,1),2)+(INDEX('Step 4 Stage Discharge'!E$26:F$126,MATCH(C241,'Step 4 Stage Discharge'!E$26:E$126,1)+1,2)-INDEX('Step 4 Stage Discharge'!E$26:F$126,MATCH(C241,'Step 4 Stage Discharge'!E$26:E$126,1),2))*(C241-INDEX('Step 4 Stage Discharge'!E$26:F$126,MATCH(C241,'Step 4 Stage Discharge'!E$26:E$126,1),1))/(INDEX('Step 4 Stage Discharge'!E$26:F$126,MATCH(C241,'Step 4 Stage Discharge'!E$26:E$126,1)+1,1)-INDEX('Step 4 Stage Discharge'!E$26:F$126,MATCH(C241,'Step 4 Stage Discharge'!E$26:E$126,1),1))</f>
        <v>0</v>
      </c>
      <c r="E241" s="219">
        <f>INDEX('Step 4 Stage Discharge'!E$26:M$126,MATCH(C241,'Step 4 Stage Discharge'!E$26:E$126,1),9)+(INDEX('Step 4 Stage Discharge'!E$26:M$126,MATCH('Step 6 Quality Check'!C241,'Step 4 Stage Discharge'!E$26:E$126,1)+1,9)-INDEX('Step 4 Stage Discharge'!E$26:M$126,MATCH('Step 6 Quality Check'!C241,'Step 4 Stage Discharge'!E$26:E$126,1),9))*('Step 6 Quality Check'!C241-INDEX('Step 4 Stage Discharge'!E$26:M$126,MATCH('Step 6 Quality Check'!C241,'Step 4 Stage Discharge'!E$26:E$126,1),1))/(INDEX('Step 4 Stage Discharge'!E$26:M$126,MATCH('Step 6 Quality Check'!C241,'Step 4 Stage Discharge'!E$26:E$126,1)+1,1)-INDEX('Step 4 Stage Discharge'!E$26:M$126,MATCH('Step 6 Quality Check'!C241,'Step 4 Stage Discharge'!E$26:E$126,1),1))</f>
        <v>4.3639431710317386E-3</v>
      </c>
      <c r="F241" s="218">
        <f t="shared" si="15"/>
        <v>0</v>
      </c>
      <c r="G241" s="218">
        <f t="shared" si="16"/>
        <v>0</v>
      </c>
    </row>
    <row r="242" spans="1:7">
      <c r="A242" s="217">
        <f t="shared" si="17"/>
        <v>1130</v>
      </c>
      <c r="B242" s="216">
        <f t="shared" si="18"/>
        <v>99.1</v>
      </c>
      <c r="C242" s="218">
        <f t="shared" si="19"/>
        <v>0</v>
      </c>
      <c r="D242" s="219">
        <f>INDEX('Step 4 Stage Discharge'!E$26:F$126,MATCH(C242,'Step 4 Stage Discharge'!E$26:E$126,1),2)+(INDEX('Step 4 Stage Discharge'!E$26:F$126,MATCH(C242,'Step 4 Stage Discharge'!E$26:E$126,1)+1,2)-INDEX('Step 4 Stage Discharge'!E$26:F$126,MATCH(C242,'Step 4 Stage Discharge'!E$26:E$126,1),2))*(C242-INDEX('Step 4 Stage Discharge'!E$26:F$126,MATCH(C242,'Step 4 Stage Discharge'!E$26:E$126,1),1))/(INDEX('Step 4 Stage Discharge'!E$26:F$126,MATCH(C242,'Step 4 Stage Discharge'!E$26:E$126,1)+1,1)-INDEX('Step 4 Stage Discharge'!E$26:F$126,MATCH(C242,'Step 4 Stage Discharge'!E$26:E$126,1),1))</f>
        <v>0</v>
      </c>
      <c r="E242" s="219">
        <f>INDEX('Step 4 Stage Discharge'!E$26:M$126,MATCH(C242,'Step 4 Stage Discharge'!E$26:E$126,1),9)+(INDEX('Step 4 Stage Discharge'!E$26:M$126,MATCH('Step 6 Quality Check'!C242,'Step 4 Stage Discharge'!E$26:E$126,1)+1,9)-INDEX('Step 4 Stage Discharge'!E$26:M$126,MATCH('Step 6 Quality Check'!C242,'Step 4 Stage Discharge'!E$26:E$126,1),9))*('Step 6 Quality Check'!C242-INDEX('Step 4 Stage Discharge'!E$26:M$126,MATCH('Step 6 Quality Check'!C242,'Step 4 Stage Discharge'!E$26:E$126,1),1))/(INDEX('Step 4 Stage Discharge'!E$26:M$126,MATCH('Step 6 Quality Check'!C242,'Step 4 Stage Discharge'!E$26:E$126,1)+1,1)-INDEX('Step 4 Stage Discharge'!E$26:M$126,MATCH('Step 6 Quality Check'!C242,'Step 4 Stage Discharge'!E$26:E$126,1),1))</f>
        <v>4.3639431710317386E-3</v>
      </c>
      <c r="F242" s="218">
        <f t="shared" si="15"/>
        <v>0</v>
      </c>
      <c r="G242" s="218">
        <f t="shared" si="16"/>
        <v>0</v>
      </c>
    </row>
    <row r="243" spans="1:7">
      <c r="A243" s="217">
        <f t="shared" si="17"/>
        <v>1135</v>
      </c>
      <c r="B243" s="216">
        <f t="shared" si="18"/>
        <v>99.1</v>
      </c>
      <c r="C243" s="218">
        <f t="shared" si="19"/>
        <v>0</v>
      </c>
      <c r="D243" s="219">
        <f>INDEX('Step 4 Stage Discharge'!E$26:F$126,MATCH(C243,'Step 4 Stage Discharge'!E$26:E$126,1),2)+(INDEX('Step 4 Stage Discharge'!E$26:F$126,MATCH(C243,'Step 4 Stage Discharge'!E$26:E$126,1)+1,2)-INDEX('Step 4 Stage Discharge'!E$26:F$126,MATCH(C243,'Step 4 Stage Discharge'!E$26:E$126,1),2))*(C243-INDEX('Step 4 Stage Discharge'!E$26:F$126,MATCH(C243,'Step 4 Stage Discharge'!E$26:E$126,1),1))/(INDEX('Step 4 Stage Discharge'!E$26:F$126,MATCH(C243,'Step 4 Stage Discharge'!E$26:E$126,1)+1,1)-INDEX('Step 4 Stage Discharge'!E$26:F$126,MATCH(C243,'Step 4 Stage Discharge'!E$26:E$126,1),1))</f>
        <v>0</v>
      </c>
      <c r="E243" s="219">
        <f>INDEX('Step 4 Stage Discharge'!E$26:M$126,MATCH(C243,'Step 4 Stage Discharge'!E$26:E$126,1),9)+(INDEX('Step 4 Stage Discharge'!E$26:M$126,MATCH('Step 6 Quality Check'!C243,'Step 4 Stage Discharge'!E$26:E$126,1)+1,9)-INDEX('Step 4 Stage Discharge'!E$26:M$126,MATCH('Step 6 Quality Check'!C243,'Step 4 Stage Discharge'!E$26:E$126,1),9))*('Step 6 Quality Check'!C243-INDEX('Step 4 Stage Discharge'!E$26:M$126,MATCH('Step 6 Quality Check'!C243,'Step 4 Stage Discharge'!E$26:E$126,1),1))/(INDEX('Step 4 Stage Discharge'!E$26:M$126,MATCH('Step 6 Quality Check'!C243,'Step 4 Stage Discharge'!E$26:E$126,1)+1,1)-INDEX('Step 4 Stage Discharge'!E$26:M$126,MATCH('Step 6 Quality Check'!C243,'Step 4 Stage Discharge'!E$26:E$126,1),1))</f>
        <v>4.3639431710317386E-3</v>
      </c>
      <c r="F243" s="218">
        <f t="shared" si="15"/>
        <v>0</v>
      </c>
      <c r="G243" s="218">
        <f t="shared" si="16"/>
        <v>0</v>
      </c>
    </row>
    <row r="244" spans="1:7">
      <c r="A244" s="217">
        <f t="shared" si="17"/>
        <v>1140</v>
      </c>
      <c r="B244" s="216">
        <f t="shared" si="18"/>
        <v>99.1</v>
      </c>
      <c r="C244" s="218">
        <f t="shared" si="19"/>
        <v>0</v>
      </c>
      <c r="D244" s="219">
        <f>INDEX('Step 4 Stage Discharge'!E$26:F$126,MATCH(C244,'Step 4 Stage Discharge'!E$26:E$126,1),2)+(INDEX('Step 4 Stage Discharge'!E$26:F$126,MATCH(C244,'Step 4 Stage Discharge'!E$26:E$126,1)+1,2)-INDEX('Step 4 Stage Discharge'!E$26:F$126,MATCH(C244,'Step 4 Stage Discharge'!E$26:E$126,1),2))*(C244-INDEX('Step 4 Stage Discharge'!E$26:F$126,MATCH(C244,'Step 4 Stage Discharge'!E$26:E$126,1),1))/(INDEX('Step 4 Stage Discharge'!E$26:F$126,MATCH(C244,'Step 4 Stage Discharge'!E$26:E$126,1)+1,1)-INDEX('Step 4 Stage Discharge'!E$26:F$126,MATCH(C244,'Step 4 Stage Discharge'!E$26:E$126,1),1))</f>
        <v>0</v>
      </c>
      <c r="E244" s="219">
        <f>INDEX('Step 4 Stage Discharge'!E$26:M$126,MATCH(C244,'Step 4 Stage Discharge'!E$26:E$126,1),9)+(INDEX('Step 4 Stage Discharge'!E$26:M$126,MATCH('Step 6 Quality Check'!C244,'Step 4 Stage Discharge'!E$26:E$126,1)+1,9)-INDEX('Step 4 Stage Discharge'!E$26:M$126,MATCH('Step 6 Quality Check'!C244,'Step 4 Stage Discharge'!E$26:E$126,1),9))*('Step 6 Quality Check'!C244-INDEX('Step 4 Stage Discharge'!E$26:M$126,MATCH('Step 6 Quality Check'!C244,'Step 4 Stage Discharge'!E$26:E$126,1),1))/(INDEX('Step 4 Stage Discharge'!E$26:M$126,MATCH('Step 6 Quality Check'!C244,'Step 4 Stage Discharge'!E$26:E$126,1)+1,1)-INDEX('Step 4 Stage Discharge'!E$26:M$126,MATCH('Step 6 Quality Check'!C244,'Step 4 Stage Discharge'!E$26:E$126,1),1))</f>
        <v>4.3639431710317386E-3</v>
      </c>
      <c r="F244" s="218">
        <f t="shared" si="15"/>
        <v>0</v>
      </c>
      <c r="G244" s="218">
        <f t="shared" si="16"/>
        <v>0</v>
      </c>
    </row>
    <row r="245" spans="1:7">
      <c r="A245" s="217">
        <f t="shared" si="17"/>
        <v>1145</v>
      </c>
      <c r="B245" s="216">
        <f t="shared" si="18"/>
        <v>99.1</v>
      </c>
      <c r="C245" s="218">
        <f t="shared" si="19"/>
        <v>0</v>
      </c>
      <c r="D245" s="219">
        <f>INDEX('Step 4 Stage Discharge'!E$26:F$126,MATCH(C245,'Step 4 Stage Discharge'!E$26:E$126,1),2)+(INDEX('Step 4 Stage Discharge'!E$26:F$126,MATCH(C245,'Step 4 Stage Discharge'!E$26:E$126,1)+1,2)-INDEX('Step 4 Stage Discharge'!E$26:F$126,MATCH(C245,'Step 4 Stage Discharge'!E$26:E$126,1),2))*(C245-INDEX('Step 4 Stage Discharge'!E$26:F$126,MATCH(C245,'Step 4 Stage Discharge'!E$26:E$126,1),1))/(INDEX('Step 4 Stage Discharge'!E$26:F$126,MATCH(C245,'Step 4 Stage Discharge'!E$26:E$126,1)+1,1)-INDEX('Step 4 Stage Discharge'!E$26:F$126,MATCH(C245,'Step 4 Stage Discharge'!E$26:E$126,1),1))</f>
        <v>0</v>
      </c>
      <c r="E245" s="219">
        <f>INDEX('Step 4 Stage Discharge'!E$26:M$126,MATCH(C245,'Step 4 Stage Discharge'!E$26:E$126,1),9)+(INDEX('Step 4 Stage Discharge'!E$26:M$126,MATCH('Step 6 Quality Check'!C245,'Step 4 Stage Discharge'!E$26:E$126,1)+1,9)-INDEX('Step 4 Stage Discharge'!E$26:M$126,MATCH('Step 6 Quality Check'!C245,'Step 4 Stage Discharge'!E$26:E$126,1),9))*('Step 6 Quality Check'!C245-INDEX('Step 4 Stage Discharge'!E$26:M$126,MATCH('Step 6 Quality Check'!C245,'Step 4 Stage Discharge'!E$26:E$126,1),1))/(INDEX('Step 4 Stage Discharge'!E$26:M$126,MATCH('Step 6 Quality Check'!C245,'Step 4 Stage Discharge'!E$26:E$126,1)+1,1)-INDEX('Step 4 Stage Discharge'!E$26:M$126,MATCH('Step 6 Quality Check'!C245,'Step 4 Stage Discharge'!E$26:E$126,1),1))</f>
        <v>4.3639431710317386E-3</v>
      </c>
      <c r="F245" s="218">
        <f t="shared" si="15"/>
        <v>0</v>
      </c>
      <c r="G245" s="218">
        <f t="shared" si="16"/>
        <v>0</v>
      </c>
    </row>
    <row r="246" spans="1:7">
      <c r="A246" s="217">
        <f t="shared" si="17"/>
        <v>1150</v>
      </c>
      <c r="B246" s="216">
        <f t="shared" si="18"/>
        <v>99.1</v>
      </c>
      <c r="C246" s="218">
        <f t="shared" si="19"/>
        <v>0</v>
      </c>
      <c r="D246" s="219">
        <f>INDEX('Step 4 Stage Discharge'!E$26:F$126,MATCH(C246,'Step 4 Stage Discharge'!E$26:E$126,1),2)+(INDEX('Step 4 Stage Discharge'!E$26:F$126,MATCH(C246,'Step 4 Stage Discharge'!E$26:E$126,1)+1,2)-INDEX('Step 4 Stage Discharge'!E$26:F$126,MATCH(C246,'Step 4 Stage Discharge'!E$26:E$126,1),2))*(C246-INDEX('Step 4 Stage Discharge'!E$26:F$126,MATCH(C246,'Step 4 Stage Discharge'!E$26:E$126,1),1))/(INDEX('Step 4 Stage Discharge'!E$26:F$126,MATCH(C246,'Step 4 Stage Discharge'!E$26:E$126,1)+1,1)-INDEX('Step 4 Stage Discharge'!E$26:F$126,MATCH(C246,'Step 4 Stage Discharge'!E$26:E$126,1),1))</f>
        <v>0</v>
      </c>
      <c r="E246" s="219">
        <f>INDEX('Step 4 Stage Discharge'!E$26:M$126,MATCH(C246,'Step 4 Stage Discharge'!E$26:E$126,1),9)+(INDEX('Step 4 Stage Discharge'!E$26:M$126,MATCH('Step 6 Quality Check'!C246,'Step 4 Stage Discharge'!E$26:E$126,1)+1,9)-INDEX('Step 4 Stage Discharge'!E$26:M$126,MATCH('Step 6 Quality Check'!C246,'Step 4 Stage Discharge'!E$26:E$126,1),9))*('Step 6 Quality Check'!C246-INDEX('Step 4 Stage Discharge'!E$26:M$126,MATCH('Step 6 Quality Check'!C246,'Step 4 Stage Discharge'!E$26:E$126,1),1))/(INDEX('Step 4 Stage Discharge'!E$26:M$126,MATCH('Step 6 Quality Check'!C246,'Step 4 Stage Discharge'!E$26:E$126,1)+1,1)-INDEX('Step 4 Stage Discharge'!E$26:M$126,MATCH('Step 6 Quality Check'!C246,'Step 4 Stage Discharge'!E$26:E$126,1),1))</f>
        <v>4.3639431710317386E-3</v>
      </c>
      <c r="F246" s="218">
        <f t="shared" si="15"/>
        <v>0</v>
      </c>
      <c r="G246" s="218">
        <f t="shared" si="16"/>
        <v>0</v>
      </c>
    </row>
    <row r="247" spans="1:7">
      <c r="A247" s="217">
        <f t="shared" si="17"/>
        <v>1155</v>
      </c>
      <c r="B247" s="216">
        <f t="shared" si="18"/>
        <v>99.1</v>
      </c>
      <c r="C247" s="218">
        <f t="shared" si="19"/>
        <v>0</v>
      </c>
      <c r="D247" s="219">
        <f>INDEX('Step 4 Stage Discharge'!E$26:F$126,MATCH(C247,'Step 4 Stage Discharge'!E$26:E$126,1),2)+(INDEX('Step 4 Stage Discharge'!E$26:F$126,MATCH(C247,'Step 4 Stage Discharge'!E$26:E$126,1)+1,2)-INDEX('Step 4 Stage Discharge'!E$26:F$126,MATCH(C247,'Step 4 Stage Discharge'!E$26:E$126,1),2))*(C247-INDEX('Step 4 Stage Discharge'!E$26:F$126,MATCH(C247,'Step 4 Stage Discharge'!E$26:E$126,1),1))/(INDEX('Step 4 Stage Discharge'!E$26:F$126,MATCH(C247,'Step 4 Stage Discharge'!E$26:E$126,1)+1,1)-INDEX('Step 4 Stage Discharge'!E$26:F$126,MATCH(C247,'Step 4 Stage Discharge'!E$26:E$126,1),1))</f>
        <v>0</v>
      </c>
      <c r="E247" s="219">
        <f>INDEX('Step 4 Stage Discharge'!E$26:M$126,MATCH(C247,'Step 4 Stage Discharge'!E$26:E$126,1),9)+(INDEX('Step 4 Stage Discharge'!E$26:M$126,MATCH('Step 6 Quality Check'!C247,'Step 4 Stage Discharge'!E$26:E$126,1)+1,9)-INDEX('Step 4 Stage Discharge'!E$26:M$126,MATCH('Step 6 Quality Check'!C247,'Step 4 Stage Discharge'!E$26:E$126,1),9))*('Step 6 Quality Check'!C247-INDEX('Step 4 Stage Discharge'!E$26:M$126,MATCH('Step 6 Quality Check'!C247,'Step 4 Stage Discharge'!E$26:E$126,1),1))/(INDEX('Step 4 Stage Discharge'!E$26:M$126,MATCH('Step 6 Quality Check'!C247,'Step 4 Stage Discharge'!E$26:E$126,1)+1,1)-INDEX('Step 4 Stage Discharge'!E$26:M$126,MATCH('Step 6 Quality Check'!C247,'Step 4 Stage Discharge'!E$26:E$126,1),1))</f>
        <v>4.3639431710317386E-3</v>
      </c>
      <c r="F247" s="218">
        <f t="shared" si="15"/>
        <v>0</v>
      </c>
      <c r="G247" s="218">
        <f t="shared" si="16"/>
        <v>0</v>
      </c>
    </row>
    <row r="248" spans="1:7">
      <c r="A248" s="217">
        <f t="shared" si="17"/>
        <v>1160</v>
      </c>
      <c r="B248" s="216">
        <f t="shared" si="18"/>
        <v>99.1</v>
      </c>
      <c r="C248" s="218">
        <f t="shared" si="19"/>
        <v>0</v>
      </c>
      <c r="D248" s="219">
        <f>INDEX('Step 4 Stage Discharge'!E$26:F$126,MATCH(C248,'Step 4 Stage Discharge'!E$26:E$126,1),2)+(INDEX('Step 4 Stage Discharge'!E$26:F$126,MATCH(C248,'Step 4 Stage Discharge'!E$26:E$126,1)+1,2)-INDEX('Step 4 Stage Discharge'!E$26:F$126,MATCH(C248,'Step 4 Stage Discharge'!E$26:E$126,1),2))*(C248-INDEX('Step 4 Stage Discharge'!E$26:F$126,MATCH(C248,'Step 4 Stage Discharge'!E$26:E$126,1),1))/(INDEX('Step 4 Stage Discharge'!E$26:F$126,MATCH(C248,'Step 4 Stage Discharge'!E$26:E$126,1)+1,1)-INDEX('Step 4 Stage Discharge'!E$26:F$126,MATCH(C248,'Step 4 Stage Discharge'!E$26:E$126,1),1))</f>
        <v>0</v>
      </c>
      <c r="E248" s="219">
        <f>INDEX('Step 4 Stage Discharge'!E$26:M$126,MATCH(C248,'Step 4 Stage Discharge'!E$26:E$126,1),9)+(INDEX('Step 4 Stage Discharge'!E$26:M$126,MATCH('Step 6 Quality Check'!C248,'Step 4 Stage Discharge'!E$26:E$126,1)+1,9)-INDEX('Step 4 Stage Discharge'!E$26:M$126,MATCH('Step 6 Quality Check'!C248,'Step 4 Stage Discharge'!E$26:E$126,1),9))*('Step 6 Quality Check'!C248-INDEX('Step 4 Stage Discharge'!E$26:M$126,MATCH('Step 6 Quality Check'!C248,'Step 4 Stage Discharge'!E$26:E$126,1),1))/(INDEX('Step 4 Stage Discharge'!E$26:M$126,MATCH('Step 6 Quality Check'!C248,'Step 4 Stage Discharge'!E$26:E$126,1)+1,1)-INDEX('Step 4 Stage Discharge'!E$26:M$126,MATCH('Step 6 Quality Check'!C248,'Step 4 Stage Discharge'!E$26:E$126,1),1))</f>
        <v>4.3639431710317386E-3</v>
      </c>
      <c r="F248" s="218">
        <f t="shared" si="15"/>
        <v>0</v>
      </c>
      <c r="G248" s="218">
        <f t="shared" si="16"/>
        <v>0</v>
      </c>
    </row>
    <row r="249" spans="1:7">
      <c r="A249" s="217">
        <f t="shared" si="17"/>
        <v>1165</v>
      </c>
      <c r="B249" s="216">
        <f t="shared" si="18"/>
        <v>99.1</v>
      </c>
      <c r="C249" s="218">
        <f t="shared" si="19"/>
        <v>0</v>
      </c>
      <c r="D249" s="219">
        <f>INDEX('Step 4 Stage Discharge'!E$26:F$126,MATCH(C249,'Step 4 Stage Discharge'!E$26:E$126,1),2)+(INDEX('Step 4 Stage Discharge'!E$26:F$126,MATCH(C249,'Step 4 Stage Discharge'!E$26:E$126,1)+1,2)-INDEX('Step 4 Stage Discharge'!E$26:F$126,MATCH(C249,'Step 4 Stage Discharge'!E$26:E$126,1),2))*(C249-INDEX('Step 4 Stage Discharge'!E$26:F$126,MATCH(C249,'Step 4 Stage Discharge'!E$26:E$126,1),1))/(INDEX('Step 4 Stage Discharge'!E$26:F$126,MATCH(C249,'Step 4 Stage Discharge'!E$26:E$126,1)+1,1)-INDEX('Step 4 Stage Discharge'!E$26:F$126,MATCH(C249,'Step 4 Stage Discharge'!E$26:E$126,1),1))</f>
        <v>0</v>
      </c>
      <c r="E249" s="219">
        <f>INDEX('Step 4 Stage Discharge'!E$26:M$126,MATCH(C249,'Step 4 Stage Discharge'!E$26:E$126,1),9)+(INDEX('Step 4 Stage Discharge'!E$26:M$126,MATCH('Step 6 Quality Check'!C249,'Step 4 Stage Discharge'!E$26:E$126,1)+1,9)-INDEX('Step 4 Stage Discharge'!E$26:M$126,MATCH('Step 6 Quality Check'!C249,'Step 4 Stage Discharge'!E$26:E$126,1),9))*('Step 6 Quality Check'!C249-INDEX('Step 4 Stage Discharge'!E$26:M$126,MATCH('Step 6 Quality Check'!C249,'Step 4 Stage Discharge'!E$26:E$126,1),1))/(INDEX('Step 4 Stage Discharge'!E$26:M$126,MATCH('Step 6 Quality Check'!C249,'Step 4 Stage Discharge'!E$26:E$126,1)+1,1)-INDEX('Step 4 Stage Discharge'!E$26:M$126,MATCH('Step 6 Quality Check'!C249,'Step 4 Stage Discharge'!E$26:E$126,1),1))</f>
        <v>4.3639431710317386E-3</v>
      </c>
      <c r="F249" s="218">
        <f t="shared" si="15"/>
        <v>0</v>
      </c>
      <c r="G249" s="218">
        <f t="shared" si="16"/>
        <v>0</v>
      </c>
    </row>
    <row r="250" spans="1:7">
      <c r="A250" s="217">
        <f t="shared" si="17"/>
        <v>1170</v>
      </c>
      <c r="B250" s="216">
        <f t="shared" si="18"/>
        <v>99.1</v>
      </c>
      <c r="C250" s="218">
        <f t="shared" si="19"/>
        <v>0</v>
      </c>
      <c r="D250" s="219">
        <f>INDEX('Step 4 Stage Discharge'!E$26:F$126,MATCH(C250,'Step 4 Stage Discharge'!E$26:E$126,1),2)+(INDEX('Step 4 Stage Discharge'!E$26:F$126,MATCH(C250,'Step 4 Stage Discharge'!E$26:E$126,1)+1,2)-INDEX('Step 4 Stage Discharge'!E$26:F$126,MATCH(C250,'Step 4 Stage Discharge'!E$26:E$126,1),2))*(C250-INDEX('Step 4 Stage Discharge'!E$26:F$126,MATCH(C250,'Step 4 Stage Discharge'!E$26:E$126,1),1))/(INDEX('Step 4 Stage Discharge'!E$26:F$126,MATCH(C250,'Step 4 Stage Discharge'!E$26:E$126,1)+1,1)-INDEX('Step 4 Stage Discharge'!E$26:F$126,MATCH(C250,'Step 4 Stage Discharge'!E$26:E$126,1),1))</f>
        <v>0</v>
      </c>
      <c r="E250" s="219">
        <f>INDEX('Step 4 Stage Discharge'!E$26:M$126,MATCH(C250,'Step 4 Stage Discharge'!E$26:E$126,1),9)+(INDEX('Step 4 Stage Discharge'!E$26:M$126,MATCH('Step 6 Quality Check'!C250,'Step 4 Stage Discharge'!E$26:E$126,1)+1,9)-INDEX('Step 4 Stage Discharge'!E$26:M$126,MATCH('Step 6 Quality Check'!C250,'Step 4 Stage Discharge'!E$26:E$126,1),9))*('Step 6 Quality Check'!C250-INDEX('Step 4 Stage Discharge'!E$26:M$126,MATCH('Step 6 Quality Check'!C250,'Step 4 Stage Discharge'!E$26:E$126,1),1))/(INDEX('Step 4 Stage Discharge'!E$26:M$126,MATCH('Step 6 Quality Check'!C250,'Step 4 Stage Discharge'!E$26:E$126,1)+1,1)-INDEX('Step 4 Stage Discharge'!E$26:M$126,MATCH('Step 6 Quality Check'!C250,'Step 4 Stage Discharge'!E$26:E$126,1),1))</f>
        <v>4.3639431710317386E-3</v>
      </c>
      <c r="F250" s="218">
        <f t="shared" si="15"/>
        <v>0</v>
      </c>
      <c r="G250" s="218">
        <f t="shared" si="16"/>
        <v>0</v>
      </c>
    </row>
    <row r="251" spans="1:7">
      <c r="A251" s="217">
        <f t="shared" si="17"/>
        <v>1175</v>
      </c>
      <c r="B251" s="216">
        <f t="shared" si="18"/>
        <v>99.1</v>
      </c>
      <c r="C251" s="218">
        <f t="shared" si="19"/>
        <v>0</v>
      </c>
      <c r="D251" s="219">
        <f>INDEX('Step 4 Stage Discharge'!E$26:F$126,MATCH(C251,'Step 4 Stage Discharge'!E$26:E$126,1),2)+(INDEX('Step 4 Stage Discharge'!E$26:F$126,MATCH(C251,'Step 4 Stage Discharge'!E$26:E$126,1)+1,2)-INDEX('Step 4 Stage Discharge'!E$26:F$126,MATCH(C251,'Step 4 Stage Discharge'!E$26:E$126,1),2))*(C251-INDEX('Step 4 Stage Discharge'!E$26:F$126,MATCH(C251,'Step 4 Stage Discharge'!E$26:E$126,1),1))/(INDEX('Step 4 Stage Discharge'!E$26:F$126,MATCH(C251,'Step 4 Stage Discharge'!E$26:E$126,1)+1,1)-INDEX('Step 4 Stage Discharge'!E$26:F$126,MATCH(C251,'Step 4 Stage Discharge'!E$26:E$126,1),1))</f>
        <v>0</v>
      </c>
      <c r="E251" s="219">
        <f>INDEX('Step 4 Stage Discharge'!E$26:M$126,MATCH(C251,'Step 4 Stage Discharge'!E$26:E$126,1),9)+(INDEX('Step 4 Stage Discharge'!E$26:M$126,MATCH('Step 6 Quality Check'!C251,'Step 4 Stage Discharge'!E$26:E$126,1)+1,9)-INDEX('Step 4 Stage Discharge'!E$26:M$126,MATCH('Step 6 Quality Check'!C251,'Step 4 Stage Discharge'!E$26:E$126,1),9))*('Step 6 Quality Check'!C251-INDEX('Step 4 Stage Discharge'!E$26:M$126,MATCH('Step 6 Quality Check'!C251,'Step 4 Stage Discharge'!E$26:E$126,1),1))/(INDEX('Step 4 Stage Discharge'!E$26:M$126,MATCH('Step 6 Quality Check'!C251,'Step 4 Stage Discharge'!E$26:E$126,1)+1,1)-INDEX('Step 4 Stage Discharge'!E$26:M$126,MATCH('Step 6 Quality Check'!C251,'Step 4 Stage Discharge'!E$26:E$126,1),1))</f>
        <v>4.3639431710317386E-3</v>
      </c>
      <c r="F251" s="218">
        <f t="shared" si="15"/>
        <v>0</v>
      </c>
      <c r="G251" s="218">
        <f t="shared" si="16"/>
        <v>0</v>
      </c>
    </row>
    <row r="252" spans="1:7">
      <c r="A252" s="217">
        <f t="shared" si="17"/>
        <v>1180</v>
      </c>
      <c r="B252" s="216">
        <f t="shared" si="18"/>
        <v>99.1</v>
      </c>
      <c r="C252" s="218">
        <f t="shared" si="19"/>
        <v>0</v>
      </c>
      <c r="D252" s="219">
        <f>INDEX('Step 4 Stage Discharge'!E$26:F$126,MATCH(C252,'Step 4 Stage Discharge'!E$26:E$126,1),2)+(INDEX('Step 4 Stage Discharge'!E$26:F$126,MATCH(C252,'Step 4 Stage Discharge'!E$26:E$126,1)+1,2)-INDEX('Step 4 Stage Discharge'!E$26:F$126,MATCH(C252,'Step 4 Stage Discharge'!E$26:E$126,1),2))*(C252-INDEX('Step 4 Stage Discharge'!E$26:F$126,MATCH(C252,'Step 4 Stage Discharge'!E$26:E$126,1),1))/(INDEX('Step 4 Stage Discharge'!E$26:F$126,MATCH(C252,'Step 4 Stage Discharge'!E$26:E$126,1)+1,1)-INDEX('Step 4 Stage Discharge'!E$26:F$126,MATCH(C252,'Step 4 Stage Discharge'!E$26:E$126,1),1))</f>
        <v>0</v>
      </c>
      <c r="E252" s="219">
        <f>INDEX('Step 4 Stage Discharge'!E$26:M$126,MATCH(C252,'Step 4 Stage Discharge'!E$26:E$126,1),9)+(INDEX('Step 4 Stage Discharge'!E$26:M$126,MATCH('Step 6 Quality Check'!C252,'Step 4 Stage Discharge'!E$26:E$126,1)+1,9)-INDEX('Step 4 Stage Discharge'!E$26:M$126,MATCH('Step 6 Quality Check'!C252,'Step 4 Stage Discharge'!E$26:E$126,1),9))*('Step 6 Quality Check'!C252-INDEX('Step 4 Stage Discharge'!E$26:M$126,MATCH('Step 6 Quality Check'!C252,'Step 4 Stage Discharge'!E$26:E$126,1),1))/(INDEX('Step 4 Stage Discharge'!E$26:M$126,MATCH('Step 6 Quality Check'!C252,'Step 4 Stage Discharge'!E$26:E$126,1)+1,1)-INDEX('Step 4 Stage Discharge'!E$26:M$126,MATCH('Step 6 Quality Check'!C252,'Step 4 Stage Discharge'!E$26:E$126,1),1))</f>
        <v>4.3639431710317386E-3</v>
      </c>
      <c r="F252" s="218">
        <f t="shared" si="15"/>
        <v>0</v>
      </c>
      <c r="G252" s="218">
        <f t="shared" si="16"/>
        <v>0</v>
      </c>
    </row>
    <row r="253" spans="1:7">
      <c r="A253" s="217">
        <f t="shared" si="17"/>
        <v>1185</v>
      </c>
      <c r="B253" s="216">
        <f t="shared" si="18"/>
        <v>99.1</v>
      </c>
      <c r="C253" s="218">
        <f t="shared" si="19"/>
        <v>0</v>
      </c>
      <c r="D253" s="219">
        <f>INDEX('Step 4 Stage Discharge'!E$26:F$126,MATCH(C253,'Step 4 Stage Discharge'!E$26:E$126,1),2)+(INDEX('Step 4 Stage Discharge'!E$26:F$126,MATCH(C253,'Step 4 Stage Discharge'!E$26:E$126,1)+1,2)-INDEX('Step 4 Stage Discharge'!E$26:F$126,MATCH(C253,'Step 4 Stage Discharge'!E$26:E$126,1),2))*(C253-INDEX('Step 4 Stage Discharge'!E$26:F$126,MATCH(C253,'Step 4 Stage Discharge'!E$26:E$126,1),1))/(INDEX('Step 4 Stage Discharge'!E$26:F$126,MATCH(C253,'Step 4 Stage Discharge'!E$26:E$126,1)+1,1)-INDEX('Step 4 Stage Discharge'!E$26:F$126,MATCH(C253,'Step 4 Stage Discharge'!E$26:E$126,1),1))</f>
        <v>0</v>
      </c>
      <c r="E253" s="219">
        <f>INDEX('Step 4 Stage Discharge'!E$26:M$126,MATCH(C253,'Step 4 Stage Discharge'!E$26:E$126,1),9)+(INDEX('Step 4 Stage Discharge'!E$26:M$126,MATCH('Step 6 Quality Check'!C253,'Step 4 Stage Discharge'!E$26:E$126,1)+1,9)-INDEX('Step 4 Stage Discharge'!E$26:M$126,MATCH('Step 6 Quality Check'!C253,'Step 4 Stage Discharge'!E$26:E$126,1),9))*('Step 6 Quality Check'!C253-INDEX('Step 4 Stage Discharge'!E$26:M$126,MATCH('Step 6 Quality Check'!C253,'Step 4 Stage Discharge'!E$26:E$126,1),1))/(INDEX('Step 4 Stage Discharge'!E$26:M$126,MATCH('Step 6 Quality Check'!C253,'Step 4 Stage Discharge'!E$26:E$126,1)+1,1)-INDEX('Step 4 Stage Discharge'!E$26:M$126,MATCH('Step 6 Quality Check'!C253,'Step 4 Stage Discharge'!E$26:E$126,1),1))</f>
        <v>4.3639431710317386E-3</v>
      </c>
      <c r="F253" s="218">
        <f t="shared" si="15"/>
        <v>0</v>
      </c>
      <c r="G253" s="218">
        <f t="shared" si="16"/>
        <v>0</v>
      </c>
    </row>
    <row r="254" spans="1:7">
      <c r="A254" s="217">
        <f t="shared" si="17"/>
        <v>1190</v>
      </c>
      <c r="B254" s="216">
        <f t="shared" si="18"/>
        <v>99.1</v>
      </c>
      <c r="C254" s="218">
        <f t="shared" si="19"/>
        <v>0</v>
      </c>
      <c r="D254" s="219">
        <f>INDEX('Step 4 Stage Discharge'!E$26:F$126,MATCH(C254,'Step 4 Stage Discharge'!E$26:E$126,1),2)+(INDEX('Step 4 Stage Discharge'!E$26:F$126,MATCH(C254,'Step 4 Stage Discharge'!E$26:E$126,1)+1,2)-INDEX('Step 4 Stage Discharge'!E$26:F$126,MATCH(C254,'Step 4 Stage Discharge'!E$26:E$126,1),2))*(C254-INDEX('Step 4 Stage Discharge'!E$26:F$126,MATCH(C254,'Step 4 Stage Discharge'!E$26:E$126,1),1))/(INDEX('Step 4 Stage Discharge'!E$26:F$126,MATCH(C254,'Step 4 Stage Discharge'!E$26:E$126,1)+1,1)-INDEX('Step 4 Stage Discharge'!E$26:F$126,MATCH(C254,'Step 4 Stage Discharge'!E$26:E$126,1),1))</f>
        <v>0</v>
      </c>
      <c r="E254" s="219">
        <f>INDEX('Step 4 Stage Discharge'!E$26:M$126,MATCH(C254,'Step 4 Stage Discharge'!E$26:E$126,1),9)+(INDEX('Step 4 Stage Discharge'!E$26:M$126,MATCH('Step 6 Quality Check'!C254,'Step 4 Stage Discharge'!E$26:E$126,1)+1,9)-INDEX('Step 4 Stage Discharge'!E$26:M$126,MATCH('Step 6 Quality Check'!C254,'Step 4 Stage Discharge'!E$26:E$126,1),9))*('Step 6 Quality Check'!C254-INDEX('Step 4 Stage Discharge'!E$26:M$126,MATCH('Step 6 Quality Check'!C254,'Step 4 Stage Discharge'!E$26:E$126,1),1))/(INDEX('Step 4 Stage Discharge'!E$26:M$126,MATCH('Step 6 Quality Check'!C254,'Step 4 Stage Discharge'!E$26:E$126,1)+1,1)-INDEX('Step 4 Stage Discharge'!E$26:M$126,MATCH('Step 6 Quality Check'!C254,'Step 4 Stage Discharge'!E$26:E$126,1),1))</f>
        <v>4.3639431710317386E-3</v>
      </c>
      <c r="F254" s="218">
        <f t="shared" si="15"/>
        <v>0</v>
      </c>
      <c r="G254" s="218">
        <f t="shared" si="16"/>
        <v>0</v>
      </c>
    </row>
    <row r="255" spans="1:7">
      <c r="A255" s="217">
        <f t="shared" si="17"/>
        <v>1195</v>
      </c>
      <c r="B255" s="216">
        <f t="shared" si="18"/>
        <v>99.1</v>
      </c>
      <c r="C255" s="218">
        <f t="shared" si="19"/>
        <v>0</v>
      </c>
      <c r="D255" s="219">
        <f>INDEX('Step 4 Stage Discharge'!E$26:F$126,MATCH(C255,'Step 4 Stage Discharge'!E$26:E$126,1),2)+(INDEX('Step 4 Stage Discharge'!E$26:F$126,MATCH(C255,'Step 4 Stage Discharge'!E$26:E$126,1)+1,2)-INDEX('Step 4 Stage Discharge'!E$26:F$126,MATCH(C255,'Step 4 Stage Discharge'!E$26:E$126,1),2))*(C255-INDEX('Step 4 Stage Discharge'!E$26:F$126,MATCH(C255,'Step 4 Stage Discharge'!E$26:E$126,1),1))/(INDEX('Step 4 Stage Discharge'!E$26:F$126,MATCH(C255,'Step 4 Stage Discharge'!E$26:E$126,1)+1,1)-INDEX('Step 4 Stage Discharge'!E$26:F$126,MATCH(C255,'Step 4 Stage Discharge'!E$26:E$126,1),1))</f>
        <v>0</v>
      </c>
      <c r="E255" s="219">
        <f>INDEX('Step 4 Stage Discharge'!E$26:M$126,MATCH(C255,'Step 4 Stage Discharge'!E$26:E$126,1),9)+(INDEX('Step 4 Stage Discharge'!E$26:M$126,MATCH('Step 6 Quality Check'!C255,'Step 4 Stage Discharge'!E$26:E$126,1)+1,9)-INDEX('Step 4 Stage Discharge'!E$26:M$126,MATCH('Step 6 Quality Check'!C255,'Step 4 Stage Discharge'!E$26:E$126,1),9))*('Step 6 Quality Check'!C255-INDEX('Step 4 Stage Discharge'!E$26:M$126,MATCH('Step 6 Quality Check'!C255,'Step 4 Stage Discharge'!E$26:E$126,1),1))/(INDEX('Step 4 Stage Discharge'!E$26:M$126,MATCH('Step 6 Quality Check'!C255,'Step 4 Stage Discharge'!E$26:E$126,1)+1,1)-INDEX('Step 4 Stage Discharge'!E$26:M$126,MATCH('Step 6 Quality Check'!C255,'Step 4 Stage Discharge'!E$26:E$126,1),1))</f>
        <v>4.3639431710317386E-3</v>
      </c>
      <c r="F255" s="218">
        <f t="shared" si="15"/>
        <v>0</v>
      </c>
      <c r="G255" s="218">
        <f t="shared" si="16"/>
        <v>0</v>
      </c>
    </row>
    <row r="256" spans="1:7">
      <c r="A256" s="217">
        <f t="shared" si="17"/>
        <v>1200</v>
      </c>
      <c r="B256" s="216">
        <f t="shared" si="18"/>
        <v>99.1</v>
      </c>
      <c r="C256" s="218">
        <f t="shared" si="19"/>
        <v>0</v>
      </c>
      <c r="D256" s="219">
        <f>INDEX('Step 4 Stage Discharge'!E$26:F$126,MATCH(C256,'Step 4 Stage Discharge'!E$26:E$126,1),2)+(INDEX('Step 4 Stage Discharge'!E$26:F$126,MATCH(C256,'Step 4 Stage Discharge'!E$26:E$126,1)+1,2)-INDEX('Step 4 Stage Discharge'!E$26:F$126,MATCH(C256,'Step 4 Stage Discharge'!E$26:E$126,1),2))*(C256-INDEX('Step 4 Stage Discharge'!E$26:F$126,MATCH(C256,'Step 4 Stage Discharge'!E$26:E$126,1),1))/(INDEX('Step 4 Stage Discharge'!E$26:F$126,MATCH(C256,'Step 4 Stage Discharge'!E$26:E$126,1)+1,1)-INDEX('Step 4 Stage Discharge'!E$26:F$126,MATCH(C256,'Step 4 Stage Discharge'!E$26:E$126,1),1))</f>
        <v>0</v>
      </c>
      <c r="E256" s="219">
        <f>INDEX('Step 4 Stage Discharge'!E$26:M$126,MATCH(C256,'Step 4 Stage Discharge'!E$26:E$126,1),9)+(INDEX('Step 4 Stage Discharge'!E$26:M$126,MATCH('Step 6 Quality Check'!C256,'Step 4 Stage Discharge'!E$26:E$126,1)+1,9)-INDEX('Step 4 Stage Discharge'!E$26:M$126,MATCH('Step 6 Quality Check'!C256,'Step 4 Stage Discharge'!E$26:E$126,1),9))*('Step 6 Quality Check'!C256-INDEX('Step 4 Stage Discharge'!E$26:M$126,MATCH('Step 6 Quality Check'!C256,'Step 4 Stage Discharge'!E$26:E$126,1),1))/(INDEX('Step 4 Stage Discharge'!E$26:M$126,MATCH('Step 6 Quality Check'!C256,'Step 4 Stage Discharge'!E$26:E$126,1)+1,1)-INDEX('Step 4 Stage Discharge'!E$26:M$126,MATCH('Step 6 Quality Check'!C256,'Step 4 Stage Discharge'!E$26:E$126,1),1))</f>
        <v>4.3639431710317386E-3</v>
      </c>
      <c r="F256" s="218">
        <f t="shared" si="15"/>
        <v>0</v>
      </c>
      <c r="G256" s="218">
        <f t="shared" si="16"/>
        <v>0</v>
      </c>
    </row>
    <row r="257" spans="1:7">
      <c r="A257" s="217">
        <f t="shared" si="17"/>
        <v>1205</v>
      </c>
      <c r="B257" s="216">
        <f t="shared" si="18"/>
        <v>99.1</v>
      </c>
      <c r="C257" s="218">
        <f t="shared" si="19"/>
        <v>0</v>
      </c>
      <c r="D257" s="219">
        <f>INDEX('Step 4 Stage Discharge'!E$26:F$126,MATCH(C257,'Step 4 Stage Discharge'!E$26:E$126,1),2)+(INDEX('Step 4 Stage Discharge'!E$26:F$126,MATCH(C257,'Step 4 Stage Discharge'!E$26:E$126,1)+1,2)-INDEX('Step 4 Stage Discharge'!E$26:F$126,MATCH(C257,'Step 4 Stage Discharge'!E$26:E$126,1),2))*(C257-INDEX('Step 4 Stage Discharge'!E$26:F$126,MATCH(C257,'Step 4 Stage Discharge'!E$26:E$126,1),1))/(INDEX('Step 4 Stage Discharge'!E$26:F$126,MATCH(C257,'Step 4 Stage Discharge'!E$26:E$126,1)+1,1)-INDEX('Step 4 Stage Discharge'!E$26:F$126,MATCH(C257,'Step 4 Stage Discharge'!E$26:E$126,1),1))</f>
        <v>0</v>
      </c>
      <c r="E257" s="219">
        <f>INDEX('Step 4 Stage Discharge'!E$26:M$126,MATCH(C257,'Step 4 Stage Discharge'!E$26:E$126,1),9)+(INDEX('Step 4 Stage Discharge'!E$26:M$126,MATCH('Step 6 Quality Check'!C257,'Step 4 Stage Discharge'!E$26:E$126,1)+1,9)-INDEX('Step 4 Stage Discharge'!E$26:M$126,MATCH('Step 6 Quality Check'!C257,'Step 4 Stage Discharge'!E$26:E$126,1),9))*('Step 6 Quality Check'!C257-INDEX('Step 4 Stage Discharge'!E$26:M$126,MATCH('Step 6 Quality Check'!C257,'Step 4 Stage Discharge'!E$26:E$126,1),1))/(INDEX('Step 4 Stage Discharge'!E$26:M$126,MATCH('Step 6 Quality Check'!C257,'Step 4 Stage Discharge'!E$26:E$126,1)+1,1)-INDEX('Step 4 Stage Discharge'!E$26:M$126,MATCH('Step 6 Quality Check'!C257,'Step 4 Stage Discharge'!E$26:E$126,1),1))</f>
        <v>4.3639431710317386E-3</v>
      </c>
      <c r="F257" s="218">
        <f t="shared" si="15"/>
        <v>0</v>
      </c>
      <c r="G257" s="218">
        <f t="shared" si="16"/>
        <v>0</v>
      </c>
    </row>
    <row r="258" spans="1:7">
      <c r="A258" s="217">
        <f t="shared" si="17"/>
        <v>1210</v>
      </c>
      <c r="B258" s="216">
        <f t="shared" si="18"/>
        <v>99.1</v>
      </c>
      <c r="C258" s="218">
        <f t="shared" si="19"/>
        <v>0</v>
      </c>
      <c r="D258" s="219">
        <f>INDEX('Step 4 Stage Discharge'!E$26:F$126,MATCH(C258,'Step 4 Stage Discharge'!E$26:E$126,1),2)+(INDEX('Step 4 Stage Discharge'!E$26:F$126,MATCH(C258,'Step 4 Stage Discharge'!E$26:E$126,1)+1,2)-INDEX('Step 4 Stage Discharge'!E$26:F$126,MATCH(C258,'Step 4 Stage Discharge'!E$26:E$126,1),2))*(C258-INDEX('Step 4 Stage Discharge'!E$26:F$126,MATCH(C258,'Step 4 Stage Discharge'!E$26:E$126,1),1))/(INDEX('Step 4 Stage Discharge'!E$26:F$126,MATCH(C258,'Step 4 Stage Discharge'!E$26:E$126,1)+1,1)-INDEX('Step 4 Stage Discharge'!E$26:F$126,MATCH(C258,'Step 4 Stage Discharge'!E$26:E$126,1),1))</f>
        <v>0</v>
      </c>
      <c r="E258" s="219">
        <f>INDEX('Step 4 Stage Discharge'!E$26:M$126,MATCH(C258,'Step 4 Stage Discharge'!E$26:E$126,1),9)+(INDEX('Step 4 Stage Discharge'!E$26:M$126,MATCH('Step 6 Quality Check'!C258,'Step 4 Stage Discharge'!E$26:E$126,1)+1,9)-INDEX('Step 4 Stage Discharge'!E$26:M$126,MATCH('Step 6 Quality Check'!C258,'Step 4 Stage Discharge'!E$26:E$126,1),9))*('Step 6 Quality Check'!C258-INDEX('Step 4 Stage Discharge'!E$26:M$126,MATCH('Step 6 Quality Check'!C258,'Step 4 Stage Discharge'!E$26:E$126,1),1))/(INDEX('Step 4 Stage Discharge'!E$26:M$126,MATCH('Step 6 Quality Check'!C258,'Step 4 Stage Discharge'!E$26:E$126,1)+1,1)-INDEX('Step 4 Stage Discharge'!E$26:M$126,MATCH('Step 6 Quality Check'!C258,'Step 4 Stage Discharge'!E$26:E$126,1),1))</f>
        <v>4.3639431710317386E-3</v>
      </c>
      <c r="F258" s="218">
        <f t="shared" si="15"/>
        <v>0</v>
      </c>
      <c r="G258" s="218">
        <f t="shared" si="16"/>
        <v>0</v>
      </c>
    </row>
    <row r="259" spans="1:7">
      <c r="A259" s="217">
        <f t="shared" si="17"/>
        <v>1215</v>
      </c>
      <c r="B259" s="216">
        <f t="shared" si="18"/>
        <v>99.1</v>
      </c>
      <c r="C259" s="218">
        <f t="shared" si="19"/>
        <v>0</v>
      </c>
      <c r="D259" s="219">
        <f>INDEX('Step 4 Stage Discharge'!E$26:F$126,MATCH(C259,'Step 4 Stage Discharge'!E$26:E$126,1),2)+(INDEX('Step 4 Stage Discharge'!E$26:F$126,MATCH(C259,'Step 4 Stage Discharge'!E$26:E$126,1)+1,2)-INDEX('Step 4 Stage Discharge'!E$26:F$126,MATCH(C259,'Step 4 Stage Discharge'!E$26:E$126,1),2))*(C259-INDEX('Step 4 Stage Discharge'!E$26:F$126,MATCH(C259,'Step 4 Stage Discharge'!E$26:E$126,1),1))/(INDEX('Step 4 Stage Discharge'!E$26:F$126,MATCH(C259,'Step 4 Stage Discharge'!E$26:E$126,1)+1,1)-INDEX('Step 4 Stage Discharge'!E$26:F$126,MATCH(C259,'Step 4 Stage Discharge'!E$26:E$126,1),1))</f>
        <v>0</v>
      </c>
      <c r="E259" s="219">
        <f>INDEX('Step 4 Stage Discharge'!E$26:M$126,MATCH(C259,'Step 4 Stage Discharge'!E$26:E$126,1),9)+(INDEX('Step 4 Stage Discharge'!E$26:M$126,MATCH('Step 6 Quality Check'!C259,'Step 4 Stage Discharge'!E$26:E$126,1)+1,9)-INDEX('Step 4 Stage Discharge'!E$26:M$126,MATCH('Step 6 Quality Check'!C259,'Step 4 Stage Discharge'!E$26:E$126,1),9))*('Step 6 Quality Check'!C259-INDEX('Step 4 Stage Discharge'!E$26:M$126,MATCH('Step 6 Quality Check'!C259,'Step 4 Stage Discharge'!E$26:E$126,1),1))/(INDEX('Step 4 Stage Discharge'!E$26:M$126,MATCH('Step 6 Quality Check'!C259,'Step 4 Stage Discharge'!E$26:E$126,1)+1,1)-INDEX('Step 4 Stage Discharge'!E$26:M$126,MATCH('Step 6 Quality Check'!C259,'Step 4 Stage Discharge'!E$26:E$126,1),1))</f>
        <v>4.3639431710317386E-3</v>
      </c>
      <c r="F259" s="218">
        <f t="shared" si="15"/>
        <v>0</v>
      </c>
      <c r="G259" s="218">
        <f t="shared" si="16"/>
        <v>0</v>
      </c>
    </row>
    <row r="260" spans="1:7">
      <c r="A260" s="217">
        <f t="shared" si="17"/>
        <v>1220</v>
      </c>
      <c r="B260" s="216">
        <f t="shared" si="18"/>
        <v>99.1</v>
      </c>
      <c r="C260" s="218">
        <f t="shared" si="19"/>
        <v>0</v>
      </c>
      <c r="D260" s="219">
        <f>INDEX('Step 4 Stage Discharge'!E$26:F$126,MATCH(C260,'Step 4 Stage Discharge'!E$26:E$126,1),2)+(INDEX('Step 4 Stage Discharge'!E$26:F$126,MATCH(C260,'Step 4 Stage Discharge'!E$26:E$126,1)+1,2)-INDEX('Step 4 Stage Discharge'!E$26:F$126,MATCH(C260,'Step 4 Stage Discharge'!E$26:E$126,1),2))*(C260-INDEX('Step 4 Stage Discharge'!E$26:F$126,MATCH(C260,'Step 4 Stage Discharge'!E$26:E$126,1),1))/(INDEX('Step 4 Stage Discharge'!E$26:F$126,MATCH(C260,'Step 4 Stage Discharge'!E$26:E$126,1)+1,1)-INDEX('Step 4 Stage Discharge'!E$26:F$126,MATCH(C260,'Step 4 Stage Discharge'!E$26:E$126,1),1))</f>
        <v>0</v>
      </c>
      <c r="E260" s="219">
        <f>INDEX('Step 4 Stage Discharge'!E$26:M$126,MATCH(C260,'Step 4 Stage Discharge'!E$26:E$126,1),9)+(INDEX('Step 4 Stage Discharge'!E$26:M$126,MATCH('Step 6 Quality Check'!C260,'Step 4 Stage Discharge'!E$26:E$126,1)+1,9)-INDEX('Step 4 Stage Discharge'!E$26:M$126,MATCH('Step 6 Quality Check'!C260,'Step 4 Stage Discharge'!E$26:E$126,1),9))*('Step 6 Quality Check'!C260-INDEX('Step 4 Stage Discharge'!E$26:M$126,MATCH('Step 6 Quality Check'!C260,'Step 4 Stage Discharge'!E$26:E$126,1),1))/(INDEX('Step 4 Stage Discharge'!E$26:M$126,MATCH('Step 6 Quality Check'!C260,'Step 4 Stage Discharge'!E$26:E$126,1)+1,1)-INDEX('Step 4 Stage Discharge'!E$26:M$126,MATCH('Step 6 Quality Check'!C260,'Step 4 Stage Discharge'!E$26:E$126,1),1))</f>
        <v>4.3639431710317386E-3</v>
      </c>
      <c r="F260" s="218">
        <f t="shared" si="15"/>
        <v>0</v>
      </c>
      <c r="G260" s="218">
        <f t="shared" si="16"/>
        <v>0</v>
      </c>
    </row>
    <row r="261" spans="1:7">
      <c r="A261" s="217">
        <f t="shared" si="17"/>
        <v>1225</v>
      </c>
      <c r="B261" s="216">
        <f t="shared" si="18"/>
        <v>99.1</v>
      </c>
      <c r="C261" s="218">
        <f t="shared" si="19"/>
        <v>0</v>
      </c>
      <c r="D261" s="219">
        <f>INDEX('Step 4 Stage Discharge'!E$26:F$126,MATCH(C261,'Step 4 Stage Discharge'!E$26:E$126,1),2)+(INDEX('Step 4 Stage Discharge'!E$26:F$126,MATCH(C261,'Step 4 Stage Discharge'!E$26:E$126,1)+1,2)-INDEX('Step 4 Stage Discharge'!E$26:F$126,MATCH(C261,'Step 4 Stage Discharge'!E$26:E$126,1),2))*(C261-INDEX('Step 4 Stage Discharge'!E$26:F$126,MATCH(C261,'Step 4 Stage Discharge'!E$26:E$126,1),1))/(INDEX('Step 4 Stage Discharge'!E$26:F$126,MATCH(C261,'Step 4 Stage Discharge'!E$26:E$126,1)+1,1)-INDEX('Step 4 Stage Discharge'!E$26:F$126,MATCH(C261,'Step 4 Stage Discharge'!E$26:E$126,1),1))</f>
        <v>0</v>
      </c>
      <c r="E261" s="219">
        <f>INDEX('Step 4 Stage Discharge'!E$26:M$126,MATCH(C261,'Step 4 Stage Discharge'!E$26:E$126,1),9)+(INDEX('Step 4 Stage Discharge'!E$26:M$126,MATCH('Step 6 Quality Check'!C261,'Step 4 Stage Discharge'!E$26:E$126,1)+1,9)-INDEX('Step 4 Stage Discharge'!E$26:M$126,MATCH('Step 6 Quality Check'!C261,'Step 4 Stage Discharge'!E$26:E$126,1),9))*('Step 6 Quality Check'!C261-INDEX('Step 4 Stage Discharge'!E$26:M$126,MATCH('Step 6 Quality Check'!C261,'Step 4 Stage Discharge'!E$26:E$126,1),1))/(INDEX('Step 4 Stage Discharge'!E$26:M$126,MATCH('Step 6 Quality Check'!C261,'Step 4 Stage Discharge'!E$26:E$126,1)+1,1)-INDEX('Step 4 Stage Discharge'!E$26:M$126,MATCH('Step 6 Quality Check'!C261,'Step 4 Stage Discharge'!E$26:E$126,1),1))</f>
        <v>4.3639431710317386E-3</v>
      </c>
      <c r="F261" s="218">
        <f t="shared" si="15"/>
        <v>0</v>
      </c>
      <c r="G261" s="218">
        <f t="shared" si="16"/>
        <v>0</v>
      </c>
    </row>
    <row r="262" spans="1:7">
      <c r="A262" s="217">
        <f t="shared" si="17"/>
        <v>1230</v>
      </c>
      <c r="B262" s="216">
        <f t="shared" si="18"/>
        <v>99.1</v>
      </c>
      <c r="C262" s="218">
        <f t="shared" si="19"/>
        <v>0</v>
      </c>
      <c r="D262" s="219">
        <f>INDEX('Step 4 Stage Discharge'!E$26:F$126,MATCH(C262,'Step 4 Stage Discharge'!E$26:E$126,1),2)+(INDEX('Step 4 Stage Discharge'!E$26:F$126,MATCH(C262,'Step 4 Stage Discharge'!E$26:E$126,1)+1,2)-INDEX('Step 4 Stage Discharge'!E$26:F$126,MATCH(C262,'Step 4 Stage Discharge'!E$26:E$126,1),2))*(C262-INDEX('Step 4 Stage Discharge'!E$26:F$126,MATCH(C262,'Step 4 Stage Discharge'!E$26:E$126,1),1))/(INDEX('Step 4 Stage Discharge'!E$26:F$126,MATCH(C262,'Step 4 Stage Discharge'!E$26:E$126,1)+1,1)-INDEX('Step 4 Stage Discharge'!E$26:F$126,MATCH(C262,'Step 4 Stage Discharge'!E$26:E$126,1),1))</f>
        <v>0</v>
      </c>
      <c r="E262" s="219">
        <f>INDEX('Step 4 Stage Discharge'!E$26:M$126,MATCH(C262,'Step 4 Stage Discharge'!E$26:E$126,1),9)+(INDEX('Step 4 Stage Discharge'!E$26:M$126,MATCH('Step 6 Quality Check'!C262,'Step 4 Stage Discharge'!E$26:E$126,1)+1,9)-INDEX('Step 4 Stage Discharge'!E$26:M$126,MATCH('Step 6 Quality Check'!C262,'Step 4 Stage Discharge'!E$26:E$126,1),9))*('Step 6 Quality Check'!C262-INDEX('Step 4 Stage Discharge'!E$26:M$126,MATCH('Step 6 Quality Check'!C262,'Step 4 Stage Discharge'!E$26:E$126,1),1))/(INDEX('Step 4 Stage Discharge'!E$26:M$126,MATCH('Step 6 Quality Check'!C262,'Step 4 Stage Discharge'!E$26:E$126,1)+1,1)-INDEX('Step 4 Stage Discharge'!E$26:M$126,MATCH('Step 6 Quality Check'!C262,'Step 4 Stage Discharge'!E$26:E$126,1),1))</f>
        <v>4.3639431710317386E-3</v>
      </c>
      <c r="F262" s="218">
        <f t="shared" si="15"/>
        <v>0</v>
      </c>
      <c r="G262" s="218">
        <f t="shared" si="16"/>
        <v>0</v>
      </c>
    </row>
    <row r="263" spans="1:7">
      <c r="A263" s="217">
        <f t="shared" si="17"/>
        <v>1235</v>
      </c>
      <c r="B263" s="216">
        <f t="shared" si="18"/>
        <v>99.1</v>
      </c>
      <c r="C263" s="218">
        <f t="shared" si="19"/>
        <v>0</v>
      </c>
      <c r="D263" s="219">
        <f>INDEX('Step 4 Stage Discharge'!E$26:F$126,MATCH(C263,'Step 4 Stage Discharge'!E$26:E$126,1),2)+(INDEX('Step 4 Stage Discharge'!E$26:F$126,MATCH(C263,'Step 4 Stage Discharge'!E$26:E$126,1)+1,2)-INDEX('Step 4 Stage Discharge'!E$26:F$126,MATCH(C263,'Step 4 Stage Discharge'!E$26:E$126,1),2))*(C263-INDEX('Step 4 Stage Discharge'!E$26:F$126,MATCH(C263,'Step 4 Stage Discharge'!E$26:E$126,1),1))/(INDEX('Step 4 Stage Discharge'!E$26:F$126,MATCH(C263,'Step 4 Stage Discharge'!E$26:E$126,1)+1,1)-INDEX('Step 4 Stage Discharge'!E$26:F$126,MATCH(C263,'Step 4 Stage Discharge'!E$26:E$126,1),1))</f>
        <v>0</v>
      </c>
      <c r="E263" s="219">
        <f>INDEX('Step 4 Stage Discharge'!E$26:M$126,MATCH(C263,'Step 4 Stage Discharge'!E$26:E$126,1),9)+(INDEX('Step 4 Stage Discharge'!E$26:M$126,MATCH('Step 6 Quality Check'!C263,'Step 4 Stage Discharge'!E$26:E$126,1)+1,9)-INDEX('Step 4 Stage Discharge'!E$26:M$126,MATCH('Step 6 Quality Check'!C263,'Step 4 Stage Discharge'!E$26:E$126,1),9))*('Step 6 Quality Check'!C263-INDEX('Step 4 Stage Discharge'!E$26:M$126,MATCH('Step 6 Quality Check'!C263,'Step 4 Stage Discharge'!E$26:E$126,1),1))/(INDEX('Step 4 Stage Discharge'!E$26:M$126,MATCH('Step 6 Quality Check'!C263,'Step 4 Stage Discharge'!E$26:E$126,1)+1,1)-INDEX('Step 4 Stage Discharge'!E$26:M$126,MATCH('Step 6 Quality Check'!C263,'Step 4 Stage Discharge'!E$26:E$126,1),1))</f>
        <v>4.3639431710317386E-3</v>
      </c>
      <c r="F263" s="218">
        <f t="shared" si="15"/>
        <v>0</v>
      </c>
      <c r="G263" s="218">
        <f t="shared" si="16"/>
        <v>0</v>
      </c>
    </row>
    <row r="264" spans="1:7">
      <c r="A264" s="217">
        <f t="shared" si="17"/>
        <v>1240</v>
      </c>
      <c r="B264" s="216">
        <f t="shared" si="18"/>
        <v>99.1</v>
      </c>
      <c r="C264" s="218">
        <f t="shared" si="19"/>
        <v>0</v>
      </c>
      <c r="D264" s="219">
        <f>INDEX('Step 4 Stage Discharge'!E$26:F$126,MATCH(C264,'Step 4 Stage Discharge'!E$26:E$126,1),2)+(INDEX('Step 4 Stage Discharge'!E$26:F$126,MATCH(C264,'Step 4 Stage Discharge'!E$26:E$126,1)+1,2)-INDEX('Step 4 Stage Discharge'!E$26:F$126,MATCH(C264,'Step 4 Stage Discharge'!E$26:E$126,1),2))*(C264-INDEX('Step 4 Stage Discharge'!E$26:F$126,MATCH(C264,'Step 4 Stage Discharge'!E$26:E$126,1),1))/(INDEX('Step 4 Stage Discharge'!E$26:F$126,MATCH(C264,'Step 4 Stage Discharge'!E$26:E$126,1)+1,1)-INDEX('Step 4 Stage Discharge'!E$26:F$126,MATCH(C264,'Step 4 Stage Discharge'!E$26:E$126,1),1))</f>
        <v>0</v>
      </c>
      <c r="E264" s="219">
        <f>INDEX('Step 4 Stage Discharge'!E$26:M$126,MATCH(C264,'Step 4 Stage Discharge'!E$26:E$126,1),9)+(INDEX('Step 4 Stage Discharge'!E$26:M$126,MATCH('Step 6 Quality Check'!C264,'Step 4 Stage Discharge'!E$26:E$126,1)+1,9)-INDEX('Step 4 Stage Discharge'!E$26:M$126,MATCH('Step 6 Quality Check'!C264,'Step 4 Stage Discharge'!E$26:E$126,1),9))*('Step 6 Quality Check'!C264-INDEX('Step 4 Stage Discharge'!E$26:M$126,MATCH('Step 6 Quality Check'!C264,'Step 4 Stage Discharge'!E$26:E$126,1),1))/(INDEX('Step 4 Stage Discharge'!E$26:M$126,MATCH('Step 6 Quality Check'!C264,'Step 4 Stage Discharge'!E$26:E$126,1)+1,1)-INDEX('Step 4 Stage Discharge'!E$26:M$126,MATCH('Step 6 Quality Check'!C264,'Step 4 Stage Discharge'!E$26:E$126,1),1))</f>
        <v>4.3639431710317386E-3</v>
      </c>
      <c r="F264" s="218">
        <f t="shared" si="15"/>
        <v>0</v>
      </c>
      <c r="G264" s="218">
        <f t="shared" si="16"/>
        <v>0</v>
      </c>
    </row>
    <row r="265" spans="1:7">
      <c r="A265" s="217">
        <f t="shared" si="17"/>
        <v>1245</v>
      </c>
      <c r="B265" s="216">
        <f t="shared" si="18"/>
        <v>99.1</v>
      </c>
      <c r="C265" s="218">
        <f t="shared" si="19"/>
        <v>0</v>
      </c>
      <c r="D265" s="219">
        <f>INDEX('Step 4 Stage Discharge'!E$26:F$126,MATCH(C265,'Step 4 Stage Discharge'!E$26:E$126,1),2)+(INDEX('Step 4 Stage Discharge'!E$26:F$126,MATCH(C265,'Step 4 Stage Discharge'!E$26:E$126,1)+1,2)-INDEX('Step 4 Stage Discharge'!E$26:F$126,MATCH(C265,'Step 4 Stage Discharge'!E$26:E$126,1),2))*(C265-INDEX('Step 4 Stage Discharge'!E$26:F$126,MATCH(C265,'Step 4 Stage Discharge'!E$26:E$126,1),1))/(INDEX('Step 4 Stage Discharge'!E$26:F$126,MATCH(C265,'Step 4 Stage Discharge'!E$26:E$126,1)+1,1)-INDEX('Step 4 Stage Discharge'!E$26:F$126,MATCH(C265,'Step 4 Stage Discharge'!E$26:E$126,1),1))</f>
        <v>0</v>
      </c>
      <c r="E265" s="219">
        <f>INDEX('Step 4 Stage Discharge'!E$26:M$126,MATCH(C265,'Step 4 Stage Discharge'!E$26:E$126,1),9)+(INDEX('Step 4 Stage Discharge'!E$26:M$126,MATCH('Step 6 Quality Check'!C265,'Step 4 Stage Discharge'!E$26:E$126,1)+1,9)-INDEX('Step 4 Stage Discharge'!E$26:M$126,MATCH('Step 6 Quality Check'!C265,'Step 4 Stage Discharge'!E$26:E$126,1),9))*('Step 6 Quality Check'!C265-INDEX('Step 4 Stage Discharge'!E$26:M$126,MATCH('Step 6 Quality Check'!C265,'Step 4 Stage Discharge'!E$26:E$126,1),1))/(INDEX('Step 4 Stage Discharge'!E$26:M$126,MATCH('Step 6 Quality Check'!C265,'Step 4 Stage Discharge'!E$26:E$126,1)+1,1)-INDEX('Step 4 Stage Discharge'!E$26:M$126,MATCH('Step 6 Quality Check'!C265,'Step 4 Stage Discharge'!E$26:E$126,1),1))</f>
        <v>4.3639431710317386E-3</v>
      </c>
      <c r="F265" s="218">
        <f t="shared" si="15"/>
        <v>0</v>
      </c>
      <c r="G265" s="218">
        <f t="shared" si="16"/>
        <v>0</v>
      </c>
    </row>
    <row r="266" spans="1:7">
      <c r="A266" s="217">
        <f t="shared" si="17"/>
        <v>1250</v>
      </c>
      <c r="B266" s="216">
        <f t="shared" si="18"/>
        <v>99.1</v>
      </c>
      <c r="C266" s="218">
        <f t="shared" si="19"/>
        <v>0</v>
      </c>
      <c r="D266" s="219">
        <f>INDEX('Step 4 Stage Discharge'!E$26:F$126,MATCH(C266,'Step 4 Stage Discharge'!E$26:E$126,1),2)+(INDEX('Step 4 Stage Discharge'!E$26:F$126,MATCH(C266,'Step 4 Stage Discharge'!E$26:E$126,1)+1,2)-INDEX('Step 4 Stage Discharge'!E$26:F$126,MATCH(C266,'Step 4 Stage Discharge'!E$26:E$126,1),2))*(C266-INDEX('Step 4 Stage Discharge'!E$26:F$126,MATCH(C266,'Step 4 Stage Discharge'!E$26:E$126,1),1))/(INDEX('Step 4 Stage Discharge'!E$26:F$126,MATCH(C266,'Step 4 Stage Discharge'!E$26:E$126,1)+1,1)-INDEX('Step 4 Stage Discharge'!E$26:F$126,MATCH(C266,'Step 4 Stage Discharge'!E$26:E$126,1),1))</f>
        <v>0</v>
      </c>
      <c r="E266" s="219">
        <f>INDEX('Step 4 Stage Discharge'!E$26:M$126,MATCH(C266,'Step 4 Stage Discharge'!E$26:E$126,1),9)+(INDEX('Step 4 Stage Discharge'!E$26:M$126,MATCH('Step 6 Quality Check'!C266,'Step 4 Stage Discharge'!E$26:E$126,1)+1,9)-INDEX('Step 4 Stage Discharge'!E$26:M$126,MATCH('Step 6 Quality Check'!C266,'Step 4 Stage Discharge'!E$26:E$126,1),9))*('Step 6 Quality Check'!C266-INDEX('Step 4 Stage Discharge'!E$26:M$126,MATCH('Step 6 Quality Check'!C266,'Step 4 Stage Discharge'!E$26:E$126,1),1))/(INDEX('Step 4 Stage Discharge'!E$26:M$126,MATCH('Step 6 Quality Check'!C266,'Step 4 Stage Discharge'!E$26:E$126,1)+1,1)-INDEX('Step 4 Stage Discharge'!E$26:M$126,MATCH('Step 6 Quality Check'!C266,'Step 4 Stage Discharge'!E$26:E$126,1),1))</f>
        <v>4.3639431710317386E-3</v>
      </c>
      <c r="F266" s="218">
        <f t="shared" si="15"/>
        <v>0</v>
      </c>
      <c r="G266" s="218">
        <f t="shared" si="16"/>
        <v>0</v>
      </c>
    </row>
    <row r="267" spans="1:7">
      <c r="A267" s="217">
        <f t="shared" si="17"/>
        <v>1255</v>
      </c>
      <c r="B267" s="216">
        <f t="shared" si="18"/>
        <v>99.1</v>
      </c>
      <c r="C267" s="218">
        <f t="shared" si="19"/>
        <v>0</v>
      </c>
      <c r="D267" s="219">
        <f>INDEX('Step 4 Stage Discharge'!E$26:F$126,MATCH(C267,'Step 4 Stage Discharge'!E$26:E$126,1),2)+(INDEX('Step 4 Stage Discharge'!E$26:F$126,MATCH(C267,'Step 4 Stage Discharge'!E$26:E$126,1)+1,2)-INDEX('Step 4 Stage Discharge'!E$26:F$126,MATCH(C267,'Step 4 Stage Discharge'!E$26:E$126,1),2))*(C267-INDEX('Step 4 Stage Discharge'!E$26:F$126,MATCH(C267,'Step 4 Stage Discharge'!E$26:E$126,1),1))/(INDEX('Step 4 Stage Discharge'!E$26:F$126,MATCH(C267,'Step 4 Stage Discharge'!E$26:E$126,1)+1,1)-INDEX('Step 4 Stage Discharge'!E$26:F$126,MATCH(C267,'Step 4 Stage Discharge'!E$26:E$126,1),1))</f>
        <v>0</v>
      </c>
      <c r="E267" s="219">
        <f>INDEX('Step 4 Stage Discharge'!E$26:M$126,MATCH(C267,'Step 4 Stage Discharge'!E$26:E$126,1),9)+(INDEX('Step 4 Stage Discharge'!E$26:M$126,MATCH('Step 6 Quality Check'!C267,'Step 4 Stage Discharge'!E$26:E$126,1)+1,9)-INDEX('Step 4 Stage Discharge'!E$26:M$126,MATCH('Step 6 Quality Check'!C267,'Step 4 Stage Discharge'!E$26:E$126,1),9))*('Step 6 Quality Check'!C267-INDEX('Step 4 Stage Discharge'!E$26:M$126,MATCH('Step 6 Quality Check'!C267,'Step 4 Stage Discharge'!E$26:E$126,1),1))/(INDEX('Step 4 Stage Discharge'!E$26:M$126,MATCH('Step 6 Quality Check'!C267,'Step 4 Stage Discharge'!E$26:E$126,1)+1,1)-INDEX('Step 4 Stage Discharge'!E$26:M$126,MATCH('Step 6 Quality Check'!C267,'Step 4 Stage Discharge'!E$26:E$126,1),1))</f>
        <v>4.3639431710317386E-3</v>
      </c>
      <c r="F267" s="218">
        <f t="shared" si="15"/>
        <v>0</v>
      </c>
      <c r="G267" s="218">
        <f t="shared" si="16"/>
        <v>0</v>
      </c>
    </row>
    <row r="268" spans="1:7">
      <c r="A268" s="217">
        <f t="shared" si="17"/>
        <v>1260</v>
      </c>
      <c r="B268" s="216">
        <f t="shared" si="18"/>
        <v>99.1</v>
      </c>
      <c r="C268" s="218">
        <f t="shared" si="19"/>
        <v>0</v>
      </c>
      <c r="D268" s="219">
        <f>INDEX('Step 4 Stage Discharge'!E$26:F$126,MATCH(C268,'Step 4 Stage Discharge'!E$26:E$126,1),2)+(INDEX('Step 4 Stage Discharge'!E$26:F$126,MATCH(C268,'Step 4 Stage Discharge'!E$26:E$126,1)+1,2)-INDEX('Step 4 Stage Discharge'!E$26:F$126,MATCH(C268,'Step 4 Stage Discharge'!E$26:E$126,1),2))*(C268-INDEX('Step 4 Stage Discharge'!E$26:F$126,MATCH(C268,'Step 4 Stage Discharge'!E$26:E$126,1),1))/(INDEX('Step 4 Stage Discharge'!E$26:F$126,MATCH(C268,'Step 4 Stage Discharge'!E$26:E$126,1)+1,1)-INDEX('Step 4 Stage Discharge'!E$26:F$126,MATCH(C268,'Step 4 Stage Discharge'!E$26:E$126,1),1))</f>
        <v>0</v>
      </c>
      <c r="E268" s="219">
        <f>INDEX('Step 4 Stage Discharge'!E$26:M$126,MATCH(C268,'Step 4 Stage Discharge'!E$26:E$126,1),9)+(INDEX('Step 4 Stage Discharge'!E$26:M$126,MATCH('Step 6 Quality Check'!C268,'Step 4 Stage Discharge'!E$26:E$126,1)+1,9)-INDEX('Step 4 Stage Discharge'!E$26:M$126,MATCH('Step 6 Quality Check'!C268,'Step 4 Stage Discharge'!E$26:E$126,1),9))*('Step 6 Quality Check'!C268-INDEX('Step 4 Stage Discharge'!E$26:M$126,MATCH('Step 6 Quality Check'!C268,'Step 4 Stage Discharge'!E$26:E$126,1),1))/(INDEX('Step 4 Stage Discharge'!E$26:M$126,MATCH('Step 6 Quality Check'!C268,'Step 4 Stage Discharge'!E$26:E$126,1)+1,1)-INDEX('Step 4 Stage Discharge'!E$26:M$126,MATCH('Step 6 Quality Check'!C268,'Step 4 Stage Discharge'!E$26:E$126,1),1))</f>
        <v>4.3639431710317386E-3</v>
      </c>
      <c r="F268" s="218">
        <f t="shared" si="15"/>
        <v>0</v>
      </c>
      <c r="G268" s="218">
        <f t="shared" si="16"/>
        <v>0</v>
      </c>
    </row>
    <row r="269" spans="1:7">
      <c r="A269" s="217">
        <f t="shared" si="17"/>
        <v>1265</v>
      </c>
      <c r="B269" s="216">
        <f t="shared" si="18"/>
        <v>99.1</v>
      </c>
      <c r="C269" s="218">
        <f t="shared" si="19"/>
        <v>0</v>
      </c>
      <c r="D269" s="219">
        <f>INDEX('Step 4 Stage Discharge'!E$26:F$126,MATCH(C269,'Step 4 Stage Discharge'!E$26:E$126,1),2)+(INDEX('Step 4 Stage Discharge'!E$26:F$126,MATCH(C269,'Step 4 Stage Discharge'!E$26:E$126,1)+1,2)-INDEX('Step 4 Stage Discharge'!E$26:F$126,MATCH(C269,'Step 4 Stage Discharge'!E$26:E$126,1),2))*(C269-INDEX('Step 4 Stage Discharge'!E$26:F$126,MATCH(C269,'Step 4 Stage Discharge'!E$26:E$126,1),1))/(INDEX('Step 4 Stage Discharge'!E$26:F$126,MATCH(C269,'Step 4 Stage Discharge'!E$26:E$126,1)+1,1)-INDEX('Step 4 Stage Discharge'!E$26:F$126,MATCH(C269,'Step 4 Stage Discharge'!E$26:E$126,1),1))</f>
        <v>0</v>
      </c>
      <c r="E269" s="219">
        <f>INDEX('Step 4 Stage Discharge'!E$26:M$126,MATCH(C269,'Step 4 Stage Discharge'!E$26:E$126,1),9)+(INDEX('Step 4 Stage Discharge'!E$26:M$126,MATCH('Step 6 Quality Check'!C269,'Step 4 Stage Discharge'!E$26:E$126,1)+1,9)-INDEX('Step 4 Stage Discharge'!E$26:M$126,MATCH('Step 6 Quality Check'!C269,'Step 4 Stage Discharge'!E$26:E$126,1),9))*('Step 6 Quality Check'!C269-INDEX('Step 4 Stage Discharge'!E$26:M$126,MATCH('Step 6 Quality Check'!C269,'Step 4 Stage Discharge'!E$26:E$126,1),1))/(INDEX('Step 4 Stage Discharge'!E$26:M$126,MATCH('Step 6 Quality Check'!C269,'Step 4 Stage Discharge'!E$26:E$126,1)+1,1)-INDEX('Step 4 Stage Discharge'!E$26:M$126,MATCH('Step 6 Quality Check'!C269,'Step 4 Stage Discharge'!E$26:E$126,1),1))</f>
        <v>4.3639431710317386E-3</v>
      </c>
      <c r="F269" s="218">
        <f t="shared" si="15"/>
        <v>0</v>
      </c>
      <c r="G269" s="218">
        <f t="shared" si="16"/>
        <v>0</v>
      </c>
    </row>
    <row r="270" spans="1:7">
      <c r="A270" s="217">
        <f t="shared" si="17"/>
        <v>1270</v>
      </c>
      <c r="B270" s="216">
        <f t="shared" si="18"/>
        <v>99.1</v>
      </c>
      <c r="C270" s="218">
        <f t="shared" si="19"/>
        <v>0</v>
      </c>
      <c r="D270" s="219">
        <f>INDEX('Step 4 Stage Discharge'!E$26:F$126,MATCH(C270,'Step 4 Stage Discharge'!E$26:E$126,1),2)+(INDEX('Step 4 Stage Discharge'!E$26:F$126,MATCH(C270,'Step 4 Stage Discharge'!E$26:E$126,1)+1,2)-INDEX('Step 4 Stage Discharge'!E$26:F$126,MATCH(C270,'Step 4 Stage Discharge'!E$26:E$126,1),2))*(C270-INDEX('Step 4 Stage Discharge'!E$26:F$126,MATCH(C270,'Step 4 Stage Discharge'!E$26:E$126,1),1))/(INDEX('Step 4 Stage Discharge'!E$26:F$126,MATCH(C270,'Step 4 Stage Discharge'!E$26:E$126,1)+1,1)-INDEX('Step 4 Stage Discharge'!E$26:F$126,MATCH(C270,'Step 4 Stage Discharge'!E$26:E$126,1),1))</f>
        <v>0</v>
      </c>
      <c r="E270" s="219">
        <f>INDEX('Step 4 Stage Discharge'!E$26:M$126,MATCH(C270,'Step 4 Stage Discharge'!E$26:E$126,1),9)+(INDEX('Step 4 Stage Discharge'!E$26:M$126,MATCH('Step 6 Quality Check'!C270,'Step 4 Stage Discharge'!E$26:E$126,1)+1,9)-INDEX('Step 4 Stage Discharge'!E$26:M$126,MATCH('Step 6 Quality Check'!C270,'Step 4 Stage Discharge'!E$26:E$126,1),9))*('Step 6 Quality Check'!C270-INDEX('Step 4 Stage Discharge'!E$26:M$126,MATCH('Step 6 Quality Check'!C270,'Step 4 Stage Discharge'!E$26:E$126,1),1))/(INDEX('Step 4 Stage Discharge'!E$26:M$126,MATCH('Step 6 Quality Check'!C270,'Step 4 Stage Discharge'!E$26:E$126,1)+1,1)-INDEX('Step 4 Stage Discharge'!E$26:M$126,MATCH('Step 6 Quality Check'!C270,'Step 4 Stage Discharge'!E$26:E$126,1),1))</f>
        <v>4.3639431710317386E-3</v>
      </c>
      <c r="F270" s="218">
        <f t="shared" si="15"/>
        <v>0</v>
      </c>
      <c r="G270" s="218">
        <f t="shared" si="16"/>
        <v>0</v>
      </c>
    </row>
    <row r="271" spans="1:7">
      <c r="A271" s="217">
        <f t="shared" si="17"/>
        <v>1275</v>
      </c>
      <c r="B271" s="216">
        <f t="shared" si="18"/>
        <v>99.1</v>
      </c>
      <c r="C271" s="218">
        <f t="shared" si="19"/>
        <v>0</v>
      </c>
      <c r="D271" s="219">
        <f>INDEX('Step 4 Stage Discharge'!E$26:F$126,MATCH(C271,'Step 4 Stage Discharge'!E$26:E$126,1),2)+(INDEX('Step 4 Stage Discharge'!E$26:F$126,MATCH(C271,'Step 4 Stage Discharge'!E$26:E$126,1)+1,2)-INDEX('Step 4 Stage Discharge'!E$26:F$126,MATCH(C271,'Step 4 Stage Discharge'!E$26:E$126,1),2))*(C271-INDEX('Step 4 Stage Discharge'!E$26:F$126,MATCH(C271,'Step 4 Stage Discharge'!E$26:E$126,1),1))/(INDEX('Step 4 Stage Discharge'!E$26:F$126,MATCH(C271,'Step 4 Stage Discharge'!E$26:E$126,1)+1,1)-INDEX('Step 4 Stage Discharge'!E$26:F$126,MATCH(C271,'Step 4 Stage Discharge'!E$26:E$126,1),1))</f>
        <v>0</v>
      </c>
      <c r="E271" s="219">
        <f>INDEX('Step 4 Stage Discharge'!E$26:M$126,MATCH(C271,'Step 4 Stage Discharge'!E$26:E$126,1),9)+(INDEX('Step 4 Stage Discharge'!E$26:M$126,MATCH('Step 6 Quality Check'!C271,'Step 4 Stage Discharge'!E$26:E$126,1)+1,9)-INDEX('Step 4 Stage Discharge'!E$26:M$126,MATCH('Step 6 Quality Check'!C271,'Step 4 Stage Discharge'!E$26:E$126,1),9))*('Step 6 Quality Check'!C271-INDEX('Step 4 Stage Discharge'!E$26:M$126,MATCH('Step 6 Quality Check'!C271,'Step 4 Stage Discharge'!E$26:E$126,1),1))/(INDEX('Step 4 Stage Discharge'!E$26:M$126,MATCH('Step 6 Quality Check'!C271,'Step 4 Stage Discharge'!E$26:E$126,1)+1,1)-INDEX('Step 4 Stage Discharge'!E$26:M$126,MATCH('Step 6 Quality Check'!C271,'Step 4 Stage Discharge'!E$26:E$126,1),1))</f>
        <v>4.3639431710317386E-3</v>
      </c>
      <c r="F271" s="218">
        <f t="shared" si="15"/>
        <v>0</v>
      </c>
      <c r="G271" s="218">
        <f t="shared" si="16"/>
        <v>0</v>
      </c>
    </row>
    <row r="272" spans="1:7">
      <c r="A272" s="217">
        <f t="shared" si="17"/>
        <v>1280</v>
      </c>
      <c r="B272" s="216">
        <f t="shared" si="18"/>
        <v>99.1</v>
      </c>
      <c r="C272" s="218">
        <f t="shared" si="19"/>
        <v>0</v>
      </c>
      <c r="D272" s="219">
        <f>INDEX('Step 4 Stage Discharge'!E$26:F$126,MATCH(C272,'Step 4 Stage Discharge'!E$26:E$126,1),2)+(INDEX('Step 4 Stage Discharge'!E$26:F$126,MATCH(C272,'Step 4 Stage Discharge'!E$26:E$126,1)+1,2)-INDEX('Step 4 Stage Discharge'!E$26:F$126,MATCH(C272,'Step 4 Stage Discharge'!E$26:E$126,1),2))*(C272-INDEX('Step 4 Stage Discharge'!E$26:F$126,MATCH(C272,'Step 4 Stage Discharge'!E$26:E$126,1),1))/(INDEX('Step 4 Stage Discharge'!E$26:F$126,MATCH(C272,'Step 4 Stage Discharge'!E$26:E$126,1)+1,1)-INDEX('Step 4 Stage Discharge'!E$26:F$126,MATCH(C272,'Step 4 Stage Discharge'!E$26:E$126,1),1))</f>
        <v>0</v>
      </c>
      <c r="E272" s="219">
        <f>INDEX('Step 4 Stage Discharge'!E$26:M$126,MATCH(C272,'Step 4 Stage Discharge'!E$26:E$126,1),9)+(INDEX('Step 4 Stage Discharge'!E$26:M$126,MATCH('Step 6 Quality Check'!C272,'Step 4 Stage Discharge'!E$26:E$126,1)+1,9)-INDEX('Step 4 Stage Discharge'!E$26:M$126,MATCH('Step 6 Quality Check'!C272,'Step 4 Stage Discharge'!E$26:E$126,1),9))*('Step 6 Quality Check'!C272-INDEX('Step 4 Stage Discharge'!E$26:M$126,MATCH('Step 6 Quality Check'!C272,'Step 4 Stage Discharge'!E$26:E$126,1),1))/(INDEX('Step 4 Stage Discharge'!E$26:M$126,MATCH('Step 6 Quality Check'!C272,'Step 4 Stage Discharge'!E$26:E$126,1)+1,1)-INDEX('Step 4 Stage Discharge'!E$26:M$126,MATCH('Step 6 Quality Check'!C272,'Step 4 Stage Discharge'!E$26:E$126,1),1))</f>
        <v>4.3639431710317386E-3</v>
      </c>
      <c r="F272" s="218">
        <f t="shared" ref="F272:F335" si="20">IF(E272*60*C$9&gt;C272,C272,E272*60*C$9)</f>
        <v>0</v>
      </c>
      <c r="G272" s="218">
        <f t="shared" ref="G272:G335" si="21">IF(C272-F272&lt;0,0,C272-F272)</f>
        <v>0</v>
      </c>
    </row>
    <row r="273" spans="1:7">
      <c r="A273" s="217">
        <f t="shared" ref="A273:A336" si="22">+A272+C$9</f>
        <v>1285</v>
      </c>
      <c r="B273" s="216">
        <f t="shared" si="18"/>
        <v>99.1</v>
      </c>
      <c r="C273" s="218">
        <f t="shared" si="19"/>
        <v>0</v>
      </c>
      <c r="D273" s="219">
        <f>INDEX('Step 4 Stage Discharge'!E$26:F$126,MATCH(C273,'Step 4 Stage Discharge'!E$26:E$126,1),2)+(INDEX('Step 4 Stage Discharge'!E$26:F$126,MATCH(C273,'Step 4 Stage Discharge'!E$26:E$126,1)+1,2)-INDEX('Step 4 Stage Discharge'!E$26:F$126,MATCH(C273,'Step 4 Stage Discharge'!E$26:E$126,1),2))*(C273-INDEX('Step 4 Stage Discharge'!E$26:F$126,MATCH(C273,'Step 4 Stage Discharge'!E$26:E$126,1),1))/(INDEX('Step 4 Stage Discharge'!E$26:F$126,MATCH(C273,'Step 4 Stage Discharge'!E$26:E$126,1)+1,1)-INDEX('Step 4 Stage Discharge'!E$26:F$126,MATCH(C273,'Step 4 Stage Discharge'!E$26:E$126,1),1))</f>
        <v>0</v>
      </c>
      <c r="E273" s="219">
        <f>INDEX('Step 4 Stage Discharge'!E$26:M$126,MATCH(C273,'Step 4 Stage Discharge'!E$26:E$126,1),9)+(INDEX('Step 4 Stage Discharge'!E$26:M$126,MATCH('Step 6 Quality Check'!C273,'Step 4 Stage Discharge'!E$26:E$126,1)+1,9)-INDEX('Step 4 Stage Discharge'!E$26:M$126,MATCH('Step 6 Quality Check'!C273,'Step 4 Stage Discharge'!E$26:E$126,1),9))*('Step 6 Quality Check'!C273-INDEX('Step 4 Stage Discharge'!E$26:M$126,MATCH('Step 6 Quality Check'!C273,'Step 4 Stage Discharge'!E$26:E$126,1),1))/(INDEX('Step 4 Stage Discharge'!E$26:M$126,MATCH('Step 6 Quality Check'!C273,'Step 4 Stage Discharge'!E$26:E$126,1)+1,1)-INDEX('Step 4 Stage Discharge'!E$26:M$126,MATCH('Step 6 Quality Check'!C273,'Step 4 Stage Discharge'!E$26:E$126,1),1))</f>
        <v>4.3639431710317386E-3</v>
      </c>
      <c r="F273" s="218">
        <f t="shared" si="20"/>
        <v>0</v>
      </c>
      <c r="G273" s="218">
        <f t="shared" si="21"/>
        <v>0</v>
      </c>
    </row>
    <row r="274" spans="1:7">
      <c r="A274" s="217">
        <f t="shared" si="22"/>
        <v>1290</v>
      </c>
      <c r="B274" s="216">
        <f t="shared" ref="B274:B337" si="23">C$6+D274</f>
        <v>99.1</v>
      </c>
      <c r="C274" s="218">
        <f t="shared" ref="C274:C337" si="24">+G273</f>
        <v>0</v>
      </c>
      <c r="D274" s="219">
        <f>INDEX('Step 4 Stage Discharge'!E$26:F$126,MATCH(C274,'Step 4 Stage Discharge'!E$26:E$126,1),2)+(INDEX('Step 4 Stage Discharge'!E$26:F$126,MATCH(C274,'Step 4 Stage Discharge'!E$26:E$126,1)+1,2)-INDEX('Step 4 Stage Discharge'!E$26:F$126,MATCH(C274,'Step 4 Stage Discharge'!E$26:E$126,1),2))*(C274-INDEX('Step 4 Stage Discharge'!E$26:F$126,MATCH(C274,'Step 4 Stage Discharge'!E$26:E$126,1),1))/(INDEX('Step 4 Stage Discharge'!E$26:F$126,MATCH(C274,'Step 4 Stage Discharge'!E$26:E$126,1)+1,1)-INDEX('Step 4 Stage Discharge'!E$26:F$126,MATCH(C274,'Step 4 Stage Discharge'!E$26:E$126,1),1))</f>
        <v>0</v>
      </c>
      <c r="E274" s="219">
        <f>INDEX('Step 4 Stage Discharge'!E$26:M$126,MATCH(C274,'Step 4 Stage Discharge'!E$26:E$126,1),9)+(INDEX('Step 4 Stage Discharge'!E$26:M$126,MATCH('Step 6 Quality Check'!C274,'Step 4 Stage Discharge'!E$26:E$126,1)+1,9)-INDEX('Step 4 Stage Discharge'!E$26:M$126,MATCH('Step 6 Quality Check'!C274,'Step 4 Stage Discharge'!E$26:E$126,1),9))*('Step 6 Quality Check'!C274-INDEX('Step 4 Stage Discharge'!E$26:M$126,MATCH('Step 6 Quality Check'!C274,'Step 4 Stage Discharge'!E$26:E$126,1),1))/(INDEX('Step 4 Stage Discharge'!E$26:M$126,MATCH('Step 6 Quality Check'!C274,'Step 4 Stage Discharge'!E$26:E$126,1)+1,1)-INDEX('Step 4 Stage Discharge'!E$26:M$126,MATCH('Step 6 Quality Check'!C274,'Step 4 Stage Discharge'!E$26:E$126,1),1))</f>
        <v>4.3639431710317386E-3</v>
      </c>
      <c r="F274" s="218">
        <f t="shared" si="20"/>
        <v>0</v>
      </c>
      <c r="G274" s="218">
        <f t="shared" si="21"/>
        <v>0</v>
      </c>
    </row>
    <row r="275" spans="1:7">
      <c r="A275" s="217">
        <f t="shared" si="22"/>
        <v>1295</v>
      </c>
      <c r="B275" s="216">
        <f t="shared" si="23"/>
        <v>99.1</v>
      </c>
      <c r="C275" s="218">
        <f t="shared" si="24"/>
        <v>0</v>
      </c>
      <c r="D275" s="219">
        <f>INDEX('Step 4 Stage Discharge'!E$26:F$126,MATCH(C275,'Step 4 Stage Discharge'!E$26:E$126,1),2)+(INDEX('Step 4 Stage Discharge'!E$26:F$126,MATCH(C275,'Step 4 Stage Discharge'!E$26:E$126,1)+1,2)-INDEX('Step 4 Stage Discharge'!E$26:F$126,MATCH(C275,'Step 4 Stage Discharge'!E$26:E$126,1),2))*(C275-INDEX('Step 4 Stage Discharge'!E$26:F$126,MATCH(C275,'Step 4 Stage Discharge'!E$26:E$126,1),1))/(INDEX('Step 4 Stage Discharge'!E$26:F$126,MATCH(C275,'Step 4 Stage Discharge'!E$26:E$126,1)+1,1)-INDEX('Step 4 Stage Discharge'!E$26:F$126,MATCH(C275,'Step 4 Stage Discharge'!E$26:E$126,1),1))</f>
        <v>0</v>
      </c>
      <c r="E275" s="219">
        <f>INDEX('Step 4 Stage Discharge'!E$26:M$126,MATCH(C275,'Step 4 Stage Discharge'!E$26:E$126,1),9)+(INDEX('Step 4 Stage Discharge'!E$26:M$126,MATCH('Step 6 Quality Check'!C275,'Step 4 Stage Discharge'!E$26:E$126,1)+1,9)-INDEX('Step 4 Stage Discharge'!E$26:M$126,MATCH('Step 6 Quality Check'!C275,'Step 4 Stage Discharge'!E$26:E$126,1),9))*('Step 6 Quality Check'!C275-INDEX('Step 4 Stage Discharge'!E$26:M$126,MATCH('Step 6 Quality Check'!C275,'Step 4 Stage Discharge'!E$26:E$126,1),1))/(INDEX('Step 4 Stage Discharge'!E$26:M$126,MATCH('Step 6 Quality Check'!C275,'Step 4 Stage Discharge'!E$26:E$126,1)+1,1)-INDEX('Step 4 Stage Discharge'!E$26:M$126,MATCH('Step 6 Quality Check'!C275,'Step 4 Stage Discharge'!E$26:E$126,1),1))</f>
        <v>4.3639431710317386E-3</v>
      </c>
      <c r="F275" s="218">
        <f t="shared" si="20"/>
        <v>0</v>
      </c>
      <c r="G275" s="218">
        <f t="shared" si="21"/>
        <v>0</v>
      </c>
    </row>
    <row r="276" spans="1:7">
      <c r="A276" s="217">
        <f t="shared" si="22"/>
        <v>1300</v>
      </c>
      <c r="B276" s="216">
        <f t="shared" si="23"/>
        <v>99.1</v>
      </c>
      <c r="C276" s="218">
        <f t="shared" si="24"/>
        <v>0</v>
      </c>
      <c r="D276" s="219">
        <f>INDEX('Step 4 Stage Discharge'!E$26:F$126,MATCH(C276,'Step 4 Stage Discharge'!E$26:E$126,1),2)+(INDEX('Step 4 Stage Discharge'!E$26:F$126,MATCH(C276,'Step 4 Stage Discharge'!E$26:E$126,1)+1,2)-INDEX('Step 4 Stage Discharge'!E$26:F$126,MATCH(C276,'Step 4 Stage Discharge'!E$26:E$126,1),2))*(C276-INDEX('Step 4 Stage Discharge'!E$26:F$126,MATCH(C276,'Step 4 Stage Discharge'!E$26:E$126,1),1))/(INDEX('Step 4 Stage Discharge'!E$26:F$126,MATCH(C276,'Step 4 Stage Discharge'!E$26:E$126,1)+1,1)-INDEX('Step 4 Stage Discharge'!E$26:F$126,MATCH(C276,'Step 4 Stage Discharge'!E$26:E$126,1),1))</f>
        <v>0</v>
      </c>
      <c r="E276" s="219">
        <f>INDEX('Step 4 Stage Discharge'!E$26:M$126,MATCH(C276,'Step 4 Stage Discharge'!E$26:E$126,1),9)+(INDEX('Step 4 Stage Discharge'!E$26:M$126,MATCH('Step 6 Quality Check'!C276,'Step 4 Stage Discharge'!E$26:E$126,1)+1,9)-INDEX('Step 4 Stage Discharge'!E$26:M$126,MATCH('Step 6 Quality Check'!C276,'Step 4 Stage Discharge'!E$26:E$126,1),9))*('Step 6 Quality Check'!C276-INDEX('Step 4 Stage Discharge'!E$26:M$126,MATCH('Step 6 Quality Check'!C276,'Step 4 Stage Discharge'!E$26:E$126,1),1))/(INDEX('Step 4 Stage Discharge'!E$26:M$126,MATCH('Step 6 Quality Check'!C276,'Step 4 Stage Discharge'!E$26:E$126,1)+1,1)-INDEX('Step 4 Stage Discharge'!E$26:M$126,MATCH('Step 6 Quality Check'!C276,'Step 4 Stage Discharge'!E$26:E$126,1),1))</f>
        <v>4.3639431710317386E-3</v>
      </c>
      <c r="F276" s="218">
        <f t="shared" si="20"/>
        <v>0</v>
      </c>
      <c r="G276" s="218">
        <f t="shared" si="21"/>
        <v>0</v>
      </c>
    </row>
    <row r="277" spans="1:7">
      <c r="A277" s="217">
        <f t="shared" si="22"/>
        <v>1305</v>
      </c>
      <c r="B277" s="216">
        <f t="shared" si="23"/>
        <v>99.1</v>
      </c>
      <c r="C277" s="218">
        <f t="shared" si="24"/>
        <v>0</v>
      </c>
      <c r="D277" s="219">
        <f>INDEX('Step 4 Stage Discharge'!E$26:F$126,MATCH(C277,'Step 4 Stage Discharge'!E$26:E$126,1),2)+(INDEX('Step 4 Stage Discharge'!E$26:F$126,MATCH(C277,'Step 4 Stage Discharge'!E$26:E$126,1)+1,2)-INDEX('Step 4 Stage Discharge'!E$26:F$126,MATCH(C277,'Step 4 Stage Discharge'!E$26:E$126,1),2))*(C277-INDEX('Step 4 Stage Discharge'!E$26:F$126,MATCH(C277,'Step 4 Stage Discharge'!E$26:E$126,1),1))/(INDEX('Step 4 Stage Discharge'!E$26:F$126,MATCH(C277,'Step 4 Stage Discharge'!E$26:E$126,1)+1,1)-INDEX('Step 4 Stage Discharge'!E$26:F$126,MATCH(C277,'Step 4 Stage Discharge'!E$26:E$126,1),1))</f>
        <v>0</v>
      </c>
      <c r="E277" s="219">
        <f>INDEX('Step 4 Stage Discharge'!E$26:M$126,MATCH(C277,'Step 4 Stage Discharge'!E$26:E$126,1),9)+(INDEX('Step 4 Stage Discharge'!E$26:M$126,MATCH('Step 6 Quality Check'!C277,'Step 4 Stage Discharge'!E$26:E$126,1)+1,9)-INDEX('Step 4 Stage Discharge'!E$26:M$126,MATCH('Step 6 Quality Check'!C277,'Step 4 Stage Discharge'!E$26:E$126,1),9))*('Step 6 Quality Check'!C277-INDEX('Step 4 Stage Discharge'!E$26:M$126,MATCH('Step 6 Quality Check'!C277,'Step 4 Stage Discharge'!E$26:E$126,1),1))/(INDEX('Step 4 Stage Discharge'!E$26:M$126,MATCH('Step 6 Quality Check'!C277,'Step 4 Stage Discharge'!E$26:E$126,1)+1,1)-INDEX('Step 4 Stage Discharge'!E$26:M$126,MATCH('Step 6 Quality Check'!C277,'Step 4 Stage Discharge'!E$26:E$126,1),1))</f>
        <v>4.3639431710317386E-3</v>
      </c>
      <c r="F277" s="218">
        <f t="shared" si="20"/>
        <v>0</v>
      </c>
      <c r="G277" s="218">
        <f t="shared" si="21"/>
        <v>0</v>
      </c>
    </row>
    <row r="278" spans="1:7">
      <c r="A278" s="217">
        <f t="shared" si="22"/>
        <v>1310</v>
      </c>
      <c r="B278" s="216">
        <f t="shared" si="23"/>
        <v>99.1</v>
      </c>
      <c r="C278" s="218">
        <f t="shared" si="24"/>
        <v>0</v>
      </c>
      <c r="D278" s="219">
        <f>INDEX('Step 4 Stage Discharge'!E$26:F$126,MATCH(C278,'Step 4 Stage Discharge'!E$26:E$126,1),2)+(INDEX('Step 4 Stage Discharge'!E$26:F$126,MATCH(C278,'Step 4 Stage Discharge'!E$26:E$126,1)+1,2)-INDEX('Step 4 Stage Discharge'!E$26:F$126,MATCH(C278,'Step 4 Stage Discharge'!E$26:E$126,1),2))*(C278-INDEX('Step 4 Stage Discharge'!E$26:F$126,MATCH(C278,'Step 4 Stage Discharge'!E$26:E$126,1),1))/(INDEX('Step 4 Stage Discharge'!E$26:F$126,MATCH(C278,'Step 4 Stage Discharge'!E$26:E$126,1)+1,1)-INDEX('Step 4 Stage Discharge'!E$26:F$126,MATCH(C278,'Step 4 Stage Discharge'!E$26:E$126,1),1))</f>
        <v>0</v>
      </c>
      <c r="E278" s="219">
        <f>INDEX('Step 4 Stage Discharge'!E$26:M$126,MATCH(C278,'Step 4 Stage Discharge'!E$26:E$126,1),9)+(INDEX('Step 4 Stage Discharge'!E$26:M$126,MATCH('Step 6 Quality Check'!C278,'Step 4 Stage Discharge'!E$26:E$126,1)+1,9)-INDEX('Step 4 Stage Discharge'!E$26:M$126,MATCH('Step 6 Quality Check'!C278,'Step 4 Stage Discharge'!E$26:E$126,1),9))*('Step 6 Quality Check'!C278-INDEX('Step 4 Stage Discharge'!E$26:M$126,MATCH('Step 6 Quality Check'!C278,'Step 4 Stage Discharge'!E$26:E$126,1),1))/(INDEX('Step 4 Stage Discharge'!E$26:M$126,MATCH('Step 6 Quality Check'!C278,'Step 4 Stage Discharge'!E$26:E$126,1)+1,1)-INDEX('Step 4 Stage Discharge'!E$26:M$126,MATCH('Step 6 Quality Check'!C278,'Step 4 Stage Discharge'!E$26:E$126,1),1))</f>
        <v>4.3639431710317386E-3</v>
      </c>
      <c r="F278" s="218">
        <f t="shared" si="20"/>
        <v>0</v>
      </c>
      <c r="G278" s="218">
        <f t="shared" si="21"/>
        <v>0</v>
      </c>
    </row>
    <row r="279" spans="1:7">
      <c r="A279" s="217">
        <f t="shared" si="22"/>
        <v>1315</v>
      </c>
      <c r="B279" s="216">
        <f t="shared" si="23"/>
        <v>99.1</v>
      </c>
      <c r="C279" s="218">
        <f t="shared" si="24"/>
        <v>0</v>
      </c>
      <c r="D279" s="219">
        <f>INDEX('Step 4 Stage Discharge'!E$26:F$126,MATCH(C279,'Step 4 Stage Discharge'!E$26:E$126,1),2)+(INDEX('Step 4 Stage Discharge'!E$26:F$126,MATCH(C279,'Step 4 Stage Discharge'!E$26:E$126,1)+1,2)-INDEX('Step 4 Stage Discharge'!E$26:F$126,MATCH(C279,'Step 4 Stage Discharge'!E$26:E$126,1),2))*(C279-INDEX('Step 4 Stage Discharge'!E$26:F$126,MATCH(C279,'Step 4 Stage Discharge'!E$26:E$126,1),1))/(INDEX('Step 4 Stage Discharge'!E$26:F$126,MATCH(C279,'Step 4 Stage Discharge'!E$26:E$126,1)+1,1)-INDEX('Step 4 Stage Discharge'!E$26:F$126,MATCH(C279,'Step 4 Stage Discharge'!E$26:E$126,1),1))</f>
        <v>0</v>
      </c>
      <c r="E279" s="219">
        <f>INDEX('Step 4 Stage Discharge'!E$26:M$126,MATCH(C279,'Step 4 Stage Discharge'!E$26:E$126,1),9)+(INDEX('Step 4 Stage Discharge'!E$26:M$126,MATCH('Step 6 Quality Check'!C279,'Step 4 Stage Discharge'!E$26:E$126,1)+1,9)-INDEX('Step 4 Stage Discharge'!E$26:M$126,MATCH('Step 6 Quality Check'!C279,'Step 4 Stage Discharge'!E$26:E$126,1),9))*('Step 6 Quality Check'!C279-INDEX('Step 4 Stage Discharge'!E$26:M$126,MATCH('Step 6 Quality Check'!C279,'Step 4 Stage Discharge'!E$26:E$126,1),1))/(INDEX('Step 4 Stage Discharge'!E$26:M$126,MATCH('Step 6 Quality Check'!C279,'Step 4 Stage Discharge'!E$26:E$126,1)+1,1)-INDEX('Step 4 Stage Discharge'!E$26:M$126,MATCH('Step 6 Quality Check'!C279,'Step 4 Stage Discharge'!E$26:E$126,1),1))</f>
        <v>4.3639431710317386E-3</v>
      </c>
      <c r="F279" s="218">
        <f t="shared" si="20"/>
        <v>0</v>
      </c>
      <c r="G279" s="218">
        <f t="shared" si="21"/>
        <v>0</v>
      </c>
    </row>
    <row r="280" spans="1:7">
      <c r="A280" s="217">
        <f t="shared" si="22"/>
        <v>1320</v>
      </c>
      <c r="B280" s="216">
        <f t="shared" si="23"/>
        <v>99.1</v>
      </c>
      <c r="C280" s="218">
        <f t="shared" si="24"/>
        <v>0</v>
      </c>
      <c r="D280" s="219">
        <f>INDEX('Step 4 Stage Discharge'!E$26:F$126,MATCH(C280,'Step 4 Stage Discharge'!E$26:E$126,1),2)+(INDEX('Step 4 Stage Discharge'!E$26:F$126,MATCH(C280,'Step 4 Stage Discharge'!E$26:E$126,1)+1,2)-INDEX('Step 4 Stage Discharge'!E$26:F$126,MATCH(C280,'Step 4 Stage Discharge'!E$26:E$126,1),2))*(C280-INDEX('Step 4 Stage Discharge'!E$26:F$126,MATCH(C280,'Step 4 Stage Discharge'!E$26:E$126,1),1))/(INDEX('Step 4 Stage Discharge'!E$26:F$126,MATCH(C280,'Step 4 Stage Discharge'!E$26:E$126,1)+1,1)-INDEX('Step 4 Stage Discharge'!E$26:F$126,MATCH(C280,'Step 4 Stage Discharge'!E$26:E$126,1),1))</f>
        <v>0</v>
      </c>
      <c r="E280" s="219">
        <f>INDEX('Step 4 Stage Discharge'!E$26:M$126,MATCH(C280,'Step 4 Stage Discharge'!E$26:E$126,1),9)+(INDEX('Step 4 Stage Discharge'!E$26:M$126,MATCH('Step 6 Quality Check'!C280,'Step 4 Stage Discharge'!E$26:E$126,1)+1,9)-INDEX('Step 4 Stage Discharge'!E$26:M$126,MATCH('Step 6 Quality Check'!C280,'Step 4 Stage Discharge'!E$26:E$126,1),9))*('Step 6 Quality Check'!C280-INDEX('Step 4 Stage Discharge'!E$26:M$126,MATCH('Step 6 Quality Check'!C280,'Step 4 Stage Discharge'!E$26:E$126,1),1))/(INDEX('Step 4 Stage Discharge'!E$26:M$126,MATCH('Step 6 Quality Check'!C280,'Step 4 Stage Discharge'!E$26:E$126,1)+1,1)-INDEX('Step 4 Stage Discharge'!E$26:M$126,MATCH('Step 6 Quality Check'!C280,'Step 4 Stage Discharge'!E$26:E$126,1),1))</f>
        <v>4.3639431710317386E-3</v>
      </c>
      <c r="F280" s="218">
        <f t="shared" si="20"/>
        <v>0</v>
      </c>
      <c r="G280" s="218">
        <f t="shared" si="21"/>
        <v>0</v>
      </c>
    </row>
    <row r="281" spans="1:7">
      <c r="A281" s="217">
        <f t="shared" si="22"/>
        <v>1325</v>
      </c>
      <c r="B281" s="216">
        <f t="shared" si="23"/>
        <v>99.1</v>
      </c>
      <c r="C281" s="218">
        <f t="shared" si="24"/>
        <v>0</v>
      </c>
      <c r="D281" s="219">
        <f>INDEX('Step 4 Stage Discharge'!E$26:F$126,MATCH(C281,'Step 4 Stage Discharge'!E$26:E$126,1),2)+(INDEX('Step 4 Stage Discharge'!E$26:F$126,MATCH(C281,'Step 4 Stage Discharge'!E$26:E$126,1)+1,2)-INDEX('Step 4 Stage Discharge'!E$26:F$126,MATCH(C281,'Step 4 Stage Discharge'!E$26:E$126,1),2))*(C281-INDEX('Step 4 Stage Discharge'!E$26:F$126,MATCH(C281,'Step 4 Stage Discharge'!E$26:E$126,1),1))/(INDEX('Step 4 Stage Discharge'!E$26:F$126,MATCH(C281,'Step 4 Stage Discharge'!E$26:E$126,1)+1,1)-INDEX('Step 4 Stage Discharge'!E$26:F$126,MATCH(C281,'Step 4 Stage Discharge'!E$26:E$126,1),1))</f>
        <v>0</v>
      </c>
      <c r="E281" s="219">
        <f>INDEX('Step 4 Stage Discharge'!E$26:M$126,MATCH(C281,'Step 4 Stage Discharge'!E$26:E$126,1),9)+(INDEX('Step 4 Stage Discharge'!E$26:M$126,MATCH('Step 6 Quality Check'!C281,'Step 4 Stage Discharge'!E$26:E$126,1)+1,9)-INDEX('Step 4 Stage Discharge'!E$26:M$126,MATCH('Step 6 Quality Check'!C281,'Step 4 Stage Discharge'!E$26:E$126,1),9))*('Step 6 Quality Check'!C281-INDEX('Step 4 Stage Discharge'!E$26:M$126,MATCH('Step 6 Quality Check'!C281,'Step 4 Stage Discharge'!E$26:E$126,1),1))/(INDEX('Step 4 Stage Discharge'!E$26:M$126,MATCH('Step 6 Quality Check'!C281,'Step 4 Stage Discharge'!E$26:E$126,1)+1,1)-INDEX('Step 4 Stage Discharge'!E$26:M$126,MATCH('Step 6 Quality Check'!C281,'Step 4 Stage Discharge'!E$26:E$126,1),1))</f>
        <v>4.3639431710317386E-3</v>
      </c>
      <c r="F281" s="218">
        <f t="shared" si="20"/>
        <v>0</v>
      </c>
      <c r="G281" s="218">
        <f t="shared" si="21"/>
        <v>0</v>
      </c>
    </row>
    <row r="282" spans="1:7">
      <c r="A282" s="217">
        <f t="shared" si="22"/>
        <v>1330</v>
      </c>
      <c r="B282" s="216">
        <f t="shared" si="23"/>
        <v>99.1</v>
      </c>
      <c r="C282" s="218">
        <f t="shared" si="24"/>
        <v>0</v>
      </c>
      <c r="D282" s="219">
        <f>INDEX('Step 4 Stage Discharge'!E$26:F$126,MATCH(C282,'Step 4 Stage Discharge'!E$26:E$126,1),2)+(INDEX('Step 4 Stage Discharge'!E$26:F$126,MATCH(C282,'Step 4 Stage Discharge'!E$26:E$126,1)+1,2)-INDEX('Step 4 Stage Discharge'!E$26:F$126,MATCH(C282,'Step 4 Stage Discharge'!E$26:E$126,1),2))*(C282-INDEX('Step 4 Stage Discharge'!E$26:F$126,MATCH(C282,'Step 4 Stage Discharge'!E$26:E$126,1),1))/(INDEX('Step 4 Stage Discharge'!E$26:F$126,MATCH(C282,'Step 4 Stage Discharge'!E$26:E$126,1)+1,1)-INDEX('Step 4 Stage Discharge'!E$26:F$126,MATCH(C282,'Step 4 Stage Discharge'!E$26:E$126,1),1))</f>
        <v>0</v>
      </c>
      <c r="E282" s="219">
        <f>INDEX('Step 4 Stage Discharge'!E$26:M$126,MATCH(C282,'Step 4 Stage Discharge'!E$26:E$126,1),9)+(INDEX('Step 4 Stage Discharge'!E$26:M$126,MATCH('Step 6 Quality Check'!C282,'Step 4 Stage Discharge'!E$26:E$126,1)+1,9)-INDEX('Step 4 Stage Discharge'!E$26:M$126,MATCH('Step 6 Quality Check'!C282,'Step 4 Stage Discharge'!E$26:E$126,1),9))*('Step 6 Quality Check'!C282-INDEX('Step 4 Stage Discharge'!E$26:M$126,MATCH('Step 6 Quality Check'!C282,'Step 4 Stage Discharge'!E$26:E$126,1),1))/(INDEX('Step 4 Stage Discharge'!E$26:M$126,MATCH('Step 6 Quality Check'!C282,'Step 4 Stage Discharge'!E$26:E$126,1)+1,1)-INDEX('Step 4 Stage Discharge'!E$26:M$126,MATCH('Step 6 Quality Check'!C282,'Step 4 Stage Discharge'!E$26:E$126,1),1))</f>
        <v>4.3639431710317386E-3</v>
      </c>
      <c r="F282" s="218">
        <f t="shared" si="20"/>
        <v>0</v>
      </c>
      <c r="G282" s="218">
        <f t="shared" si="21"/>
        <v>0</v>
      </c>
    </row>
    <row r="283" spans="1:7">
      <c r="A283" s="217">
        <f t="shared" si="22"/>
        <v>1335</v>
      </c>
      <c r="B283" s="216">
        <f t="shared" si="23"/>
        <v>99.1</v>
      </c>
      <c r="C283" s="218">
        <f t="shared" si="24"/>
        <v>0</v>
      </c>
      <c r="D283" s="219">
        <f>INDEX('Step 4 Stage Discharge'!E$26:F$126,MATCH(C283,'Step 4 Stage Discharge'!E$26:E$126,1),2)+(INDEX('Step 4 Stage Discharge'!E$26:F$126,MATCH(C283,'Step 4 Stage Discharge'!E$26:E$126,1)+1,2)-INDEX('Step 4 Stage Discharge'!E$26:F$126,MATCH(C283,'Step 4 Stage Discharge'!E$26:E$126,1),2))*(C283-INDEX('Step 4 Stage Discharge'!E$26:F$126,MATCH(C283,'Step 4 Stage Discharge'!E$26:E$126,1),1))/(INDEX('Step 4 Stage Discharge'!E$26:F$126,MATCH(C283,'Step 4 Stage Discharge'!E$26:E$126,1)+1,1)-INDEX('Step 4 Stage Discharge'!E$26:F$126,MATCH(C283,'Step 4 Stage Discharge'!E$26:E$126,1),1))</f>
        <v>0</v>
      </c>
      <c r="E283" s="219">
        <f>INDEX('Step 4 Stage Discharge'!E$26:M$126,MATCH(C283,'Step 4 Stage Discharge'!E$26:E$126,1),9)+(INDEX('Step 4 Stage Discharge'!E$26:M$126,MATCH('Step 6 Quality Check'!C283,'Step 4 Stage Discharge'!E$26:E$126,1)+1,9)-INDEX('Step 4 Stage Discharge'!E$26:M$126,MATCH('Step 6 Quality Check'!C283,'Step 4 Stage Discharge'!E$26:E$126,1),9))*('Step 6 Quality Check'!C283-INDEX('Step 4 Stage Discharge'!E$26:M$126,MATCH('Step 6 Quality Check'!C283,'Step 4 Stage Discharge'!E$26:E$126,1),1))/(INDEX('Step 4 Stage Discharge'!E$26:M$126,MATCH('Step 6 Quality Check'!C283,'Step 4 Stage Discharge'!E$26:E$126,1)+1,1)-INDEX('Step 4 Stage Discharge'!E$26:M$126,MATCH('Step 6 Quality Check'!C283,'Step 4 Stage Discharge'!E$26:E$126,1),1))</f>
        <v>4.3639431710317386E-3</v>
      </c>
      <c r="F283" s="218">
        <f t="shared" si="20"/>
        <v>0</v>
      </c>
      <c r="G283" s="218">
        <f t="shared" si="21"/>
        <v>0</v>
      </c>
    </row>
    <row r="284" spans="1:7">
      <c r="A284" s="217">
        <f t="shared" si="22"/>
        <v>1340</v>
      </c>
      <c r="B284" s="216">
        <f t="shared" si="23"/>
        <v>99.1</v>
      </c>
      <c r="C284" s="218">
        <f t="shared" si="24"/>
        <v>0</v>
      </c>
      <c r="D284" s="219">
        <f>INDEX('Step 4 Stage Discharge'!E$26:F$126,MATCH(C284,'Step 4 Stage Discharge'!E$26:E$126,1),2)+(INDEX('Step 4 Stage Discharge'!E$26:F$126,MATCH(C284,'Step 4 Stage Discharge'!E$26:E$126,1)+1,2)-INDEX('Step 4 Stage Discharge'!E$26:F$126,MATCH(C284,'Step 4 Stage Discharge'!E$26:E$126,1),2))*(C284-INDEX('Step 4 Stage Discharge'!E$26:F$126,MATCH(C284,'Step 4 Stage Discharge'!E$26:E$126,1),1))/(INDEX('Step 4 Stage Discharge'!E$26:F$126,MATCH(C284,'Step 4 Stage Discharge'!E$26:E$126,1)+1,1)-INDEX('Step 4 Stage Discharge'!E$26:F$126,MATCH(C284,'Step 4 Stage Discharge'!E$26:E$126,1),1))</f>
        <v>0</v>
      </c>
      <c r="E284" s="219">
        <f>INDEX('Step 4 Stage Discharge'!E$26:M$126,MATCH(C284,'Step 4 Stage Discharge'!E$26:E$126,1),9)+(INDEX('Step 4 Stage Discharge'!E$26:M$126,MATCH('Step 6 Quality Check'!C284,'Step 4 Stage Discharge'!E$26:E$126,1)+1,9)-INDEX('Step 4 Stage Discharge'!E$26:M$126,MATCH('Step 6 Quality Check'!C284,'Step 4 Stage Discharge'!E$26:E$126,1),9))*('Step 6 Quality Check'!C284-INDEX('Step 4 Stage Discharge'!E$26:M$126,MATCH('Step 6 Quality Check'!C284,'Step 4 Stage Discharge'!E$26:E$126,1),1))/(INDEX('Step 4 Stage Discharge'!E$26:M$126,MATCH('Step 6 Quality Check'!C284,'Step 4 Stage Discharge'!E$26:E$126,1)+1,1)-INDEX('Step 4 Stage Discharge'!E$26:M$126,MATCH('Step 6 Quality Check'!C284,'Step 4 Stage Discharge'!E$26:E$126,1),1))</f>
        <v>4.3639431710317386E-3</v>
      </c>
      <c r="F284" s="218">
        <f t="shared" si="20"/>
        <v>0</v>
      </c>
      <c r="G284" s="218">
        <f t="shared" si="21"/>
        <v>0</v>
      </c>
    </row>
    <row r="285" spans="1:7">
      <c r="A285" s="217">
        <f t="shared" si="22"/>
        <v>1345</v>
      </c>
      <c r="B285" s="216">
        <f t="shared" si="23"/>
        <v>99.1</v>
      </c>
      <c r="C285" s="218">
        <f t="shared" si="24"/>
        <v>0</v>
      </c>
      <c r="D285" s="219">
        <f>INDEX('Step 4 Stage Discharge'!E$26:F$126,MATCH(C285,'Step 4 Stage Discharge'!E$26:E$126,1),2)+(INDEX('Step 4 Stage Discharge'!E$26:F$126,MATCH(C285,'Step 4 Stage Discharge'!E$26:E$126,1)+1,2)-INDEX('Step 4 Stage Discharge'!E$26:F$126,MATCH(C285,'Step 4 Stage Discharge'!E$26:E$126,1),2))*(C285-INDEX('Step 4 Stage Discharge'!E$26:F$126,MATCH(C285,'Step 4 Stage Discharge'!E$26:E$126,1),1))/(INDEX('Step 4 Stage Discharge'!E$26:F$126,MATCH(C285,'Step 4 Stage Discharge'!E$26:E$126,1)+1,1)-INDEX('Step 4 Stage Discharge'!E$26:F$126,MATCH(C285,'Step 4 Stage Discharge'!E$26:E$126,1),1))</f>
        <v>0</v>
      </c>
      <c r="E285" s="219">
        <f>INDEX('Step 4 Stage Discharge'!E$26:M$126,MATCH(C285,'Step 4 Stage Discharge'!E$26:E$126,1),9)+(INDEX('Step 4 Stage Discharge'!E$26:M$126,MATCH('Step 6 Quality Check'!C285,'Step 4 Stage Discharge'!E$26:E$126,1)+1,9)-INDEX('Step 4 Stage Discharge'!E$26:M$126,MATCH('Step 6 Quality Check'!C285,'Step 4 Stage Discharge'!E$26:E$126,1),9))*('Step 6 Quality Check'!C285-INDEX('Step 4 Stage Discharge'!E$26:M$126,MATCH('Step 6 Quality Check'!C285,'Step 4 Stage Discharge'!E$26:E$126,1),1))/(INDEX('Step 4 Stage Discharge'!E$26:M$126,MATCH('Step 6 Quality Check'!C285,'Step 4 Stage Discharge'!E$26:E$126,1)+1,1)-INDEX('Step 4 Stage Discharge'!E$26:M$126,MATCH('Step 6 Quality Check'!C285,'Step 4 Stage Discharge'!E$26:E$126,1),1))</f>
        <v>4.3639431710317386E-3</v>
      </c>
      <c r="F285" s="218">
        <f t="shared" si="20"/>
        <v>0</v>
      </c>
      <c r="G285" s="218">
        <f t="shared" si="21"/>
        <v>0</v>
      </c>
    </row>
    <row r="286" spans="1:7">
      <c r="A286" s="217">
        <f t="shared" si="22"/>
        <v>1350</v>
      </c>
      <c r="B286" s="216">
        <f t="shared" si="23"/>
        <v>99.1</v>
      </c>
      <c r="C286" s="218">
        <f t="shared" si="24"/>
        <v>0</v>
      </c>
      <c r="D286" s="219">
        <f>INDEX('Step 4 Stage Discharge'!E$26:F$126,MATCH(C286,'Step 4 Stage Discharge'!E$26:E$126,1),2)+(INDEX('Step 4 Stage Discharge'!E$26:F$126,MATCH(C286,'Step 4 Stage Discharge'!E$26:E$126,1)+1,2)-INDEX('Step 4 Stage Discharge'!E$26:F$126,MATCH(C286,'Step 4 Stage Discharge'!E$26:E$126,1),2))*(C286-INDEX('Step 4 Stage Discharge'!E$26:F$126,MATCH(C286,'Step 4 Stage Discharge'!E$26:E$126,1),1))/(INDEX('Step 4 Stage Discharge'!E$26:F$126,MATCH(C286,'Step 4 Stage Discharge'!E$26:E$126,1)+1,1)-INDEX('Step 4 Stage Discharge'!E$26:F$126,MATCH(C286,'Step 4 Stage Discharge'!E$26:E$126,1),1))</f>
        <v>0</v>
      </c>
      <c r="E286" s="219">
        <f>INDEX('Step 4 Stage Discharge'!E$26:M$126,MATCH(C286,'Step 4 Stage Discharge'!E$26:E$126,1),9)+(INDEX('Step 4 Stage Discharge'!E$26:M$126,MATCH('Step 6 Quality Check'!C286,'Step 4 Stage Discharge'!E$26:E$126,1)+1,9)-INDEX('Step 4 Stage Discharge'!E$26:M$126,MATCH('Step 6 Quality Check'!C286,'Step 4 Stage Discharge'!E$26:E$126,1),9))*('Step 6 Quality Check'!C286-INDEX('Step 4 Stage Discharge'!E$26:M$126,MATCH('Step 6 Quality Check'!C286,'Step 4 Stage Discharge'!E$26:E$126,1),1))/(INDEX('Step 4 Stage Discharge'!E$26:M$126,MATCH('Step 6 Quality Check'!C286,'Step 4 Stage Discharge'!E$26:E$126,1)+1,1)-INDEX('Step 4 Stage Discharge'!E$26:M$126,MATCH('Step 6 Quality Check'!C286,'Step 4 Stage Discharge'!E$26:E$126,1),1))</f>
        <v>4.3639431710317386E-3</v>
      </c>
      <c r="F286" s="218">
        <f t="shared" si="20"/>
        <v>0</v>
      </c>
      <c r="G286" s="218">
        <f t="shared" si="21"/>
        <v>0</v>
      </c>
    </row>
    <row r="287" spans="1:7">
      <c r="A287" s="217">
        <f t="shared" si="22"/>
        <v>1355</v>
      </c>
      <c r="B287" s="216">
        <f t="shared" si="23"/>
        <v>99.1</v>
      </c>
      <c r="C287" s="218">
        <f t="shared" si="24"/>
        <v>0</v>
      </c>
      <c r="D287" s="219">
        <f>INDEX('Step 4 Stage Discharge'!E$26:F$126,MATCH(C287,'Step 4 Stage Discharge'!E$26:E$126,1),2)+(INDEX('Step 4 Stage Discharge'!E$26:F$126,MATCH(C287,'Step 4 Stage Discharge'!E$26:E$126,1)+1,2)-INDEX('Step 4 Stage Discharge'!E$26:F$126,MATCH(C287,'Step 4 Stage Discharge'!E$26:E$126,1),2))*(C287-INDEX('Step 4 Stage Discharge'!E$26:F$126,MATCH(C287,'Step 4 Stage Discharge'!E$26:E$126,1),1))/(INDEX('Step 4 Stage Discharge'!E$26:F$126,MATCH(C287,'Step 4 Stage Discharge'!E$26:E$126,1)+1,1)-INDEX('Step 4 Stage Discharge'!E$26:F$126,MATCH(C287,'Step 4 Stage Discharge'!E$26:E$126,1),1))</f>
        <v>0</v>
      </c>
      <c r="E287" s="219">
        <f>INDEX('Step 4 Stage Discharge'!E$26:M$126,MATCH(C287,'Step 4 Stage Discharge'!E$26:E$126,1),9)+(INDEX('Step 4 Stage Discharge'!E$26:M$126,MATCH('Step 6 Quality Check'!C287,'Step 4 Stage Discharge'!E$26:E$126,1)+1,9)-INDEX('Step 4 Stage Discharge'!E$26:M$126,MATCH('Step 6 Quality Check'!C287,'Step 4 Stage Discharge'!E$26:E$126,1),9))*('Step 6 Quality Check'!C287-INDEX('Step 4 Stage Discharge'!E$26:M$126,MATCH('Step 6 Quality Check'!C287,'Step 4 Stage Discharge'!E$26:E$126,1),1))/(INDEX('Step 4 Stage Discharge'!E$26:M$126,MATCH('Step 6 Quality Check'!C287,'Step 4 Stage Discharge'!E$26:E$126,1)+1,1)-INDEX('Step 4 Stage Discharge'!E$26:M$126,MATCH('Step 6 Quality Check'!C287,'Step 4 Stage Discharge'!E$26:E$126,1),1))</f>
        <v>4.3639431710317386E-3</v>
      </c>
      <c r="F287" s="218">
        <f t="shared" si="20"/>
        <v>0</v>
      </c>
      <c r="G287" s="218">
        <f t="shared" si="21"/>
        <v>0</v>
      </c>
    </row>
    <row r="288" spans="1:7">
      <c r="A288" s="217">
        <f t="shared" si="22"/>
        <v>1360</v>
      </c>
      <c r="B288" s="216">
        <f t="shared" si="23"/>
        <v>99.1</v>
      </c>
      <c r="C288" s="218">
        <f t="shared" si="24"/>
        <v>0</v>
      </c>
      <c r="D288" s="219">
        <f>INDEX('Step 4 Stage Discharge'!E$26:F$126,MATCH(C288,'Step 4 Stage Discharge'!E$26:E$126,1),2)+(INDEX('Step 4 Stage Discharge'!E$26:F$126,MATCH(C288,'Step 4 Stage Discharge'!E$26:E$126,1)+1,2)-INDEX('Step 4 Stage Discharge'!E$26:F$126,MATCH(C288,'Step 4 Stage Discharge'!E$26:E$126,1),2))*(C288-INDEX('Step 4 Stage Discharge'!E$26:F$126,MATCH(C288,'Step 4 Stage Discharge'!E$26:E$126,1),1))/(INDEX('Step 4 Stage Discharge'!E$26:F$126,MATCH(C288,'Step 4 Stage Discharge'!E$26:E$126,1)+1,1)-INDEX('Step 4 Stage Discharge'!E$26:F$126,MATCH(C288,'Step 4 Stage Discharge'!E$26:E$126,1),1))</f>
        <v>0</v>
      </c>
      <c r="E288" s="219">
        <f>INDEX('Step 4 Stage Discharge'!E$26:M$126,MATCH(C288,'Step 4 Stage Discharge'!E$26:E$126,1),9)+(INDEX('Step 4 Stage Discharge'!E$26:M$126,MATCH('Step 6 Quality Check'!C288,'Step 4 Stage Discharge'!E$26:E$126,1)+1,9)-INDEX('Step 4 Stage Discharge'!E$26:M$126,MATCH('Step 6 Quality Check'!C288,'Step 4 Stage Discharge'!E$26:E$126,1),9))*('Step 6 Quality Check'!C288-INDEX('Step 4 Stage Discharge'!E$26:M$126,MATCH('Step 6 Quality Check'!C288,'Step 4 Stage Discharge'!E$26:E$126,1),1))/(INDEX('Step 4 Stage Discharge'!E$26:M$126,MATCH('Step 6 Quality Check'!C288,'Step 4 Stage Discharge'!E$26:E$126,1)+1,1)-INDEX('Step 4 Stage Discharge'!E$26:M$126,MATCH('Step 6 Quality Check'!C288,'Step 4 Stage Discharge'!E$26:E$126,1),1))</f>
        <v>4.3639431710317386E-3</v>
      </c>
      <c r="F288" s="218">
        <f t="shared" si="20"/>
        <v>0</v>
      </c>
      <c r="G288" s="218">
        <f t="shared" si="21"/>
        <v>0</v>
      </c>
    </row>
    <row r="289" spans="1:7">
      <c r="A289" s="217">
        <f t="shared" si="22"/>
        <v>1365</v>
      </c>
      <c r="B289" s="216">
        <f t="shared" si="23"/>
        <v>99.1</v>
      </c>
      <c r="C289" s="218">
        <f t="shared" si="24"/>
        <v>0</v>
      </c>
      <c r="D289" s="219">
        <f>INDEX('Step 4 Stage Discharge'!E$26:F$126,MATCH(C289,'Step 4 Stage Discharge'!E$26:E$126,1),2)+(INDEX('Step 4 Stage Discharge'!E$26:F$126,MATCH(C289,'Step 4 Stage Discharge'!E$26:E$126,1)+1,2)-INDEX('Step 4 Stage Discharge'!E$26:F$126,MATCH(C289,'Step 4 Stage Discharge'!E$26:E$126,1),2))*(C289-INDEX('Step 4 Stage Discharge'!E$26:F$126,MATCH(C289,'Step 4 Stage Discharge'!E$26:E$126,1),1))/(INDEX('Step 4 Stage Discharge'!E$26:F$126,MATCH(C289,'Step 4 Stage Discharge'!E$26:E$126,1)+1,1)-INDEX('Step 4 Stage Discharge'!E$26:F$126,MATCH(C289,'Step 4 Stage Discharge'!E$26:E$126,1),1))</f>
        <v>0</v>
      </c>
      <c r="E289" s="219">
        <f>INDEX('Step 4 Stage Discharge'!E$26:M$126,MATCH(C289,'Step 4 Stage Discharge'!E$26:E$126,1),9)+(INDEX('Step 4 Stage Discharge'!E$26:M$126,MATCH('Step 6 Quality Check'!C289,'Step 4 Stage Discharge'!E$26:E$126,1)+1,9)-INDEX('Step 4 Stage Discharge'!E$26:M$126,MATCH('Step 6 Quality Check'!C289,'Step 4 Stage Discharge'!E$26:E$126,1),9))*('Step 6 Quality Check'!C289-INDEX('Step 4 Stage Discharge'!E$26:M$126,MATCH('Step 6 Quality Check'!C289,'Step 4 Stage Discharge'!E$26:E$126,1),1))/(INDEX('Step 4 Stage Discharge'!E$26:M$126,MATCH('Step 6 Quality Check'!C289,'Step 4 Stage Discharge'!E$26:E$126,1)+1,1)-INDEX('Step 4 Stage Discharge'!E$26:M$126,MATCH('Step 6 Quality Check'!C289,'Step 4 Stage Discharge'!E$26:E$126,1),1))</f>
        <v>4.3639431710317386E-3</v>
      </c>
      <c r="F289" s="218">
        <f t="shared" si="20"/>
        <v>0</v>
      </c>
      <c r="G289" s="218">
        <f t="shared" si="21"/>
        <v>0</v>
      </c>
    </row>
    <row r="290" spans="1:7">
      <c r="A290" s="217">
        <f t="shared" si="22"/>
        <v>1370</v>
      </c>
      <c r="B290" s="216">
        <f t="shared" si="23"/>
        <v>99.1</v>
      </c>
      <c r="C290" s="218">
        <f t="shared" si="24"/>
        <v>0</v>
      </c>
      <c r="D290" s="219">
        <f>INDEX('Step 4 Stage Discharge'!E$26:F$126,MATCH(C290,'Step 4 Stage Discharge'!E$26:E$126,1),2)+(INDEX('Step 4 Stage Discharge'!E$26:F$126,MATCH(C290,'Step 4 Stage Discharge'!E$26:E$126,1)+1,2)-INDEX('Step 4 Stage Discharge'!E$26:F$126,MATCH(C290,'Step 4 Stage Discharge'!E$26:E$126,1),2))*(C290-INDEX('Step 4 Stage Discharge'!E$26:F$126,MATCH(C290,'Step 4 Stage Discharge'!E$26:E$126,1),1))/(INDEX('Step 4 Stage Discharge'!E$26:F$126,MATCH(C290,'Step 4 Stage Discharge'!E$26:E$126,1)+1,1)-INDEX('Step 4 Stage Discharge'!E$26:F$126,MATCH(C290,'Step 4 Stage Discharge'!E$26:E$126,1),1))</f>
        <v>0</v>
      </c>
      <c r="E290" s="219">
        <f>INDEX('Step 4 Stage Discharge'!E$26:M$126,MATCH(C290,'Step 4 Stage Discharge'!E$26:E$126,1),9)+(INDEX('Step 4 Stage Discharge'!E$26:M$126,MATCH('Step 6 Quality Check'!C290,'Step 4 Stage Discharge'!E$26:E$126,1)+1,9)-INDEX('Step 4 Stage Discharge'!E$26:M$126,MATCH('Step 6 Quality Check'!C290,'Step 4 Stage Discharge'!E$26:E$126,1),9))*('Step 6 Quality Check'!C290-INDEX('Step 4 Stage Discharge'!E$26:M$126,MATCH('Step 6 Quality Check'!C290,'Step 4 Stage Discharge'!E$26:E$126,1),1))/(INDEX('Step 4 Stage Discharge'!E$26:M$126,MATCH('Step 6 Quality Check'!C290,'Step 4 Stage Discharge'!E$26:E$126,1)+1,1)-INDEX('Step 4 Stage Discharge'!E$26:M$126,MATCH('Step 6 Quality Check'!C290,'Step 4 Stage Discharge'!E$26:E$126,1),1))</f>
        <v>4.3639431710317386E-3</v>
      </c>
      <c r="F290" s="218">
        <f t="shared" si="20"/>
        <v>0</v>
      </c>
      <c r="G290" s="218">
        <f t="shared" si="21"/>
        <v>0</v>
      </c>
    </row>
    <row r="291" spans="1:7">
      <c r="A291" s="217">
        <f t="shared" si="22"/>
        <v>1375</v>
      </c>
      <c r="B291" s="216">
        <f t="shared" si="23"/>
        <v>99.1</v>
      </c>
      <c r="C291" s="218">
        <f t="shared" si="24"/>
        <v>0</v>
      </c>
      <c r="D291" s="219">
        <f>INDEX('Step 4 Stage Discharge'!E$26:F$126,MATCH(C291,'Step 4 Stage Discharge'!E$26:E$126,1),2)+(INDEX('Step 4 Stage Discharge'!E$26:F$126,MATCH(C291,'Step 4 Stage Discharge'!E$26:E$126,1)+1,2)-INDEX('Step 4 Stage Discharge'!E$26:F$126,MATCH(C291,'Step 4 Stage Discharge'!E$26:E$126,1),2))*(C291-INDEX('Step 4 Stage Discharge'!E$26:F$126,MATCH(C291,'Step 4 Stage Discharge'!E$26:E$126,1),1))/(INDEX('Step 4 Stage Discharge'!E$26:F$126,MATCH(C291,'Step 4 Stage Discharge'!E$26:E$126,1)+1,1)-INDEX('Step 4 Stage Discharge'!E$26:F$126,MATCH(C291,'Step 4 Stage Discharge'!E$26:E$126,1),1))</f>
        <v>0</v>
      </c>
      <c r="E291" s="219">
        <f>INDEX('Step 4 Stage Discharge'!E$26:M$126,MATCH(C291,'Step 4 Stage Discharge'!E$26:E$126,1),9)+(INDEX('Step 4 Stage Discharge'!E$26:M$126,MATCH('Step 6 Quality Check'!C291,'Step 4 Stage Discharge'!E$26:E$126,1)+1,9)-INDEX('Step 4 Stage Discharge'!E$26:M$126,MATCH('Step 6 Quality Check'!C291,'Step 4 Stage Discharge'!E$26:E$126,1),9))*('Step 6 Quality Check'!C291-INDEX('Step 4 Stage Discharge'!E$26:M$126,MATCH('Step 6 Quality Check'!C291,'Step 4 Stage Discharge'!E$26:E$126,1),1))/(INDEX('Step 4 Stage Discharge'!E$26:M$126,MATCH('Step 6 Quality Check'!C291,'Step 4 Stage Discharge'!E$26:E$126,1)+1,1)-INDEX('Step 4 Stage Discharge'!E$26:M$126,MATCH('Step 6 Quality Check'!C291,'Step 4 Stage Discharge'!E$26:E$126,1),1))</f>
        <v>4.3639431710317386E-3</v>
      </c>
      <c r="F291" s="218">
        <f t="shared" si="20"/>
        <v>0</v>
      </c>
      <c r="G291" s="218">
        <f t="shared" si="21"/>
        <v>0</v>
      </c>
    </row>
    <row r="292" spans="1:7">
      <c r="A292" s="217">
        <f t="shared" si="22"/>
        <v>1380</v>
      </c>
      <c r="B292" s="216">
        <f t="shared" si="23"/>
        <v>99.1</v>
      </c>
      <c r="C292" s="218">
        <f t="shared" si="24"/>
        <v>0</v>
      </c>
      <c r="D292" s="219">
        <f>INDEX('Step 4 Stage Discharge'!E$26:F$126,MATCH(C292,'Step 4 Stage Discharge'!E$26:E$126,1),2)+(INDEX('Step 4 Stage Discharge'!E$26:F$126,MATCH(C292,'Step 4 Stage Discharge'!E$26:E$126,1)+1,2)-INDEX('Step 4 Stage Discharge'!E$26:F$126,MATCH(C292,'Step 4 Stage Discharge'!E$26:E$126,1),2))*(C292-INDEX('Step 4 Stage Discharge'!E$26:F$126,MATCH(C292,'Step 4 Stage Discharge'!E$26:E$126,1),1))/(INDEX('Step 4 Stage Discharge'!E$26:F$126,MATCH(C292,'Step 4 Stage Discharge'!E$26:E$126,1)+1,1)-INDEX('Step 4 Stage Discharge'!E$26:F$126,MATCH(C292,'Step 4 Stage Discharge'!E$26:E$126,1),1))</f>
        <v>0</v>
      </c>
      <c r="E292" s="219">
        <f>INDEX('Step 4 Stage Discharge'!E$26:M$126,MATCH(C292,'Step 4 Stage Discharge'!E$26:E$126,1),9)+(INDEX('Step 4 Stage Discharge'!E$26:M$126,MATCH('Step 6 Quality Check'!C292,'Step 4 Stage Discharge'!E$26:E$126,1)+1,9)-INDEX('Step 4 Stage Discharge'!E$26:M$126,MATCH('Step 6 Quality Check'!C292,'Step 4 Stage Discharge'!E$26:E$126,1),9))*('Step 6 Quality Check'!C292-INDEX('Step 4 Stage Discharge'!E$26:M$126,MATCH('Step 6 Quality Check'!C292,'Step 4 Stage Discharge'!E$26:E$126,1),1))/(INDEX('Step 4 Stage Discharge'!E$26:M$126,MATCH('Step 6 Quality Check'!C292,'Step 4 Stage Discharge'!E$26:E$126,1)+1,1)-INDEX('Step 4 Stage Discharge'!E$26:M$126,MATCH('Step 6 Quality Check'!C292,'Step 4 Stage Discharge'!E$26:E$126,1),1))</f>
        <v>4.3639431710317386E-3</v>
      </c>
      <c r="F292" s="218">
        <f t="shared" si="20"/>
        <v>0</v>
      </c>
      <c r="G292" s="218">
        <f t="shared" si="21"/>
        <v>0</v>
      </c>
    </row>
    <row r="293" spans="1:7">
      <c r="A293" s="217">
        <f t="shared" si="22"/>
        <v>1385</v>
      </c>
      <c r="B293" s="216">
        <f t="shared" si="23"/>
        <v>99.1</v>
      </c>
      <c r="C293" s="218">
        <f t="shared" si="24"/>
        <v>0</v>
      </c>
      <c r="D293" s="219">
        <f>INDEX('Step 4 Stage Discharge'!E$26:F$126,MATCH(C293,'Step 4 Stage Discharge'!E$26:E$126,1),2)+(INDEX('Step 4 Stage Discharge'!E$26:F$126,MATCH(C293,'Step 4 Stage Discharge'!E$26:E$126,1)+1,2)-INDEX('Step 4 Stage Discharge'!E$26:F$126,MATCH(C293,'Step 4 Stage Discharge'!E$26:E$126,1),2))*(C293-INDEX('Step 4 Stage Discharge'!E$26:F$126,MATCH(C293,'Step 4 Stage Discharge'!E$26:E$126,1),1))/(INDEX('Step 4 Stage Discharge'!E$26:F$126,MATCH(C293,'Step 4 Stage Discharge'!E$26:E$126,1)+1,1)-INDEX('Step 4 Stage Discharge'!E$26:F$126,MATCH(C293,'Step 4 Stage Discharge'!E$26:E$126,1),1))</f>
        <v>0</v>
      </c>
      <c r="E293" s="219">
        <f>INDEX('Step 4 Stage Discharge'!E$26:M$126,MATCH(C293,'Step 4 Stage Discharge'!E$26:E$126,1),9)+(INDEX('Step 4 Stage Discharge'!E$26:M$126,MATCH('Step 6 Quality Check'!C293,'Step 4 Stage Discharge'!E$26:E$126,1)+1,9)-INDEX('Step 4 Stage Discharge'!E$26:M$126,MATCH('Step 6 Quality Check'!C293,'Step 4 Stage Discharge'!E$26:E$126,1),9))*('Step 6 Quality Check'!C293-INDEX('Step 4 Stage Discharge'!E$26:M$126,MATCH('Step 6 Quality Check'!C293,'Step 4 Stage Discharge'!E$26:E$126,1),1))/(INDEX('Step 4 Stage Discharge'!E$26:M$126,MATCH('Step 6 Quality Check'!C293,'Step 4 Stage Discharge'!E$26:E$126,1)+1,1)-INDEX('Step 4 Stage Discharge'!E$26:M$126,MATCH('Step 6 Quality Check'!C293,'Step 4 Stage Discharge'!E$26:E$126,1),1))</f>
        <v>4.3639431710317386E-3</v>
      </c>
      <c r="F293" s="218">
        <f t="shared" si="20"/>
        <v>0</v>
      </c>
      <c r="G293" s="218">
        <f t="shared" si="21"/>
        <v>0</v>
      </c>
    </row>
    <row r="294" spans="1:7">
      <c r="A294" s="217">
        <f t="shared" si="22"/>
        <v>1390</v>
      </c>
      <c r="B294" s="216">
        <f t="shared" si="23"/>
        <v>99.1</v>
      </c>
      <c r="C294" s="218">
        <f t="shared" si="24"/>
        <v>0</v>
      </c>
      <c r="D294" s="219">
        <f>INDEX('Step 4 Stage Discharge'!E$26:F$126,MATCH(C294,'Step 4 Stage Discharge'!E$26:E$126,1),2)+(INDEX('Step 4 Stage Discharge'!E$26:F$126,MATCH(C294,'Step 4 Stage Discharge'!E$26:E$126,1)+1,2)-INDEX('Step 4 Stage Discharge'!E$26:F$126,MATCH(C294,'Step 4 Stage Discharge'!E$26:E$126,1),2))*(C294-INDEX('Step 4 Stage Discharge'!E$26:F$126,MATCH(C294,'Step 4 Stage Discharge'!E$26:E$126,1),1))/(INDEX('Step 4 Stage Discharge'!E$26:F$126,MATCH(C294,'Step 4 Stage Discharge'!E$26:E$126,1)+1,1)-INDEX('Step 4 Stage Discharge'!E$26:F$126,MATCH(C294,'Step 4 Stage Discharge'!E$26:E$126,1),1))</f>
        <v>0</v>
      </c>
      <c r="E294" s="219">
        <f>INDEX('Step 4 Stage Discharge'!E$26:M$126,MATCH(C294,'Step 4 Stage Discharge'!E$26:E$126,1),9)+(INDEX('Step 4 Stage Discharge'!E$26:M$126,MATCH('Step 6 Quality Check'!C294,'Step 4 Stage Discharge'!E$26:E$126,1)+1,9)-INDEX('Step 4 Stage Discharge'!E$26:M$126,MATCH('Step 6 Quality Check'!C294,'Step 4 Stage Discharge'!E$26:E$126,1),9))*('Step 6 Quality Check'!C294-INDEX('Step 4 Stage Discharge'!E$26:M$126,MATCH('Step 6 Quality Check'!C294,'Step 4 Stage Discharge'!E$26:E$126,1),1))/(INDEX('Step 4 Stage Discharge'!E$26:M$126,MATCH('Step 6 Quality Check'!C294,'Step 4 Stage Discharge'!E$26:E$126,1)+1,1)-INDEX('Step 4 Stage Discharge'!E$26:M$126,MATCH('Step 6 Quality Check'!C294,'Step 4 Stage Discharge'!E$26:E$126,1),1))</f>
        <v>4.3639431710317386E-3</v>
      </c>
      <c r="F294" s="218">
        <f t="shared" si="20"/>
        <v>0</v>
      </c>
      <c r="G294" s="218">
        <f t="shared" si="21"/>
        <v>0</v>
      </c>
    </row>
    <row r="295" spans="1:7">
      <c r="A295" s="217">
        <f t="shared" si="22"/>
        <v>1395</v>
      </c>
      <c r="B295" s="216">
        <f t="shared" si="23"/>
        <v>99.1</v>
      </c>
      <c r="C295" s="218">
        <f t="shared" si="24"/>
        <v>0</v>
      </c>
      <c r="D295" s="219">
        <f>INDEX('Step 4 Stage Discharge'!E$26:F$126,MATCH(C295,'Step 4 Stage Discharge'!E$26:E$126,1),2)+(INDEX('Step 4 Stage Discharge'!E$26:F$126,MATCH(C295,'Step 4 Stage Discharge'!E$26:E$126,1)+1,2)-INDEX('Step 4 Stage Discharge'!E$26:F$126,MATCH(C295,'Step 4 Stage Discharge'!E$26:E$126,1),2))*(C295-INDEX('Step 4 Stage Discharge'!E$26:F$126,MATCH(C295,'Step 4 Stage Discharge'!E$26:E$126,1),1))/(INDEX('Step 4 Stage Discharge'!E$26:F$126,MATCH(C295,'Step 4 Stage Discharge'!E$26:E$126,1)+1,1)-INDEX('Step 4 Stage Discharge'!E$26:F$126,MATCH(C295,'Step 4 Stage Discharge'!E$26:E$126,1),1))</f>
        <v>0</v>
      </c>
      <c r="E295" s="219">
        <f>INDEX('Step 4 Stage Discharge'!E$26:M$126,MATCH(C295,'Step 4 Stage Discharge'!E$26:E$126,1),9)+(INDEX('Step 4 Stage Discharge'!E$26:M$126,MATCH('Step 6 Quality Check'!C295,'Step 4 Stage Discharge'!E$26:E$126,1)+1,9)-INDEX('Step 4 Stage Discharge'!E$26:M$126,MATCH('Step 6 Quality Check'!C295,'Step 4 Stage Discharge'!E$26:E$126,1),9))*('Step 6 Quality Check'!C295-INDEX('Step 4 Stage Discharge'!E$26:M$126,MATCH('Step 6 Quality Check'!C295,'Step 4 Stage Discharge'!E$26:E$126,1),1))/(INDEX('Step 4 Stage Discharge'!E$26:M$126,MATCH('Step 6 Quality Check'!C295,'Step 4 Stage Discharge'!E$26:E$126,1)+1,1)-INDEX('Step 4 Stage Discharge'!E$26:M$126,MATCH('Step 6 Quality Check'!C295,'Step 4 Stage Discharge'!E$26:E$126,1),1))</f>
        <v>4.3639431710317386E-3</v>
      </c>
      <c r="F295" s="218">
        <f t="shared" si="20"/>
        <v>0</v>
      </c>
      <c r="G295" s="218">
        <f t="shared" si="21"/>
        <v>0</v>
      </c>
    </row>
    <row r="296" spans="1:7">
      <c r="A296" s="217">
        <f t="shared" si="22"/>
        <v>1400</v>
      </c>
      <c r="B296" s="216">
        <f t="shared" si="23"/>
        <v>99.1</v>
      </c>
      <c r="C296" s="218">
        <f t="shared" si="24"/>
        <v>0</v>
      </c>
      <c r="D296" s="219">
        <f>INDEX('Step 4 Stage Discharge'!E$26:F$126,MATCH(C296,'Step 4 Stage Discharge'!E$26:E$126,1),2)+(INDEX('Step 4 Stage Discharge'!E$26:F$126,MATCH(C296,'Step 4 Stage Discharge'!E$26:E$126,1)+1,2)-INDEX('Step 4 Stage Discharge'!E$26:F$126,MATCH(C296,'Step 4 Stage Discharge'!E$26:E$126,1),2))*(C296-INDEX('Step 4 Stage Discharge'!E$26:F$126,MATCH(C296,'Step 4 Stage Discharge'!E$26:E$126,1),1))/(INDEX('Step 4 Stage Discharge'!E$26:F$126,MATCH(C296,'Step 4 Stage Discharge'!E$26:E$126,1)+1,1)-INDEX('Step 4 Stage Discharge'!E$26:F$126,MATCH(C296,'Step 4 Stage Discharge'!E$26:E$126,1),1))</f>
        <v>0</v>
      </c>
      <c r="E296" s="219">
        <f>INDEX('Step 4 Stage Discharge'!E$26:M$126,MATCH(C296,'Step 4 Stage Discharge'!E$26:E$126,1),9)+(INDEX('Step 4 Stage Discharge'!E$26:M$126,MATCH('Step 6 Quality Check'!C296,'Step 4 Stage Discharge'!E$26:E$126,1)+1,9)-INDEX('Step 4 Stage Discharge'!E$26:M$126,MATCH('Step 6 Quality Check'!C296,'Step 4 Stage Discharge'!E$26:E$126,1),9))*('Step 6 Quality Check'!C296-INDEX('Step 4 Stage Discharge'!E$26:M$126,MATCH('Step 6 Quality Check'!C296,'Step 4 Stage Discharge'!E$26:E$126,1),1))/(INDEX('Step 4 Stage Discharge'!E$26:M$126,MATCH('Step 6 Quality Check'!C296,'Step 4 Stage Discharge'!E$26:E$126,1)+1,1)-INDEX('Step 4 Stage Discharge'!E$26:M$126,MATCH('Step 6 Quality Check'!C296,'Step 4 Stage Discharge'!E$26:E$126,1),1))</f>
        <v>4.3639431710317386E-3</v>
      </c>
      <c r="F296" s="218">
        <f t="shared" si="20"/>
        <v>0</v>
      </c>
      <c r="G296" s="218">
        <f t="shared" si="21"/>
        <v>0</v>
      </c>
    </row>
    <row r="297" spans="1:7">
      <c r="A297" s="217">
        <f t="shared" si="22"/>
        <v>1405</v>
      </c>
      <c r="B297" s="216">
        <f t="shared" si="23"/>
        <v>99.1</v>
      </c>
      <c r="C297" s="218">
        <f t="shared" si="24"/>
        <v>0</v>
      </c>
      <c r="D297" s="219">
        <f>INDEX('Step 4 Stage Discharge'!E$26:F$126,MATCH(C297,'Step 4 Stage Discharge'!E$26:E$126,1),2)+(INDEX('Step 4 Stage Discharge'!E$26:F$126,MATCH(C297,'Step 4 Stage Discharge'!E$26:E$126,1)+1,2)-INDEX('Step 4 Stage Discharge'!E$26:F$126,MATCH(C297,'Step 4 Stage Discharge'!E$26:E$126,1),2))*(C297-INDEX('Step 4 Stage Discharge'!E$26:F$126,MATCH(C297,'Step 4 Stage Discharge'!E$26:E$126,1),1))/(INDEX('Step 4 Stage Discharge'!E$26:F$126,MATCH(C297,'Step 4 Stage Discharge'!E$26:E$126,1)+1,1)-INDEX('Step 4 Stage Discharge'!E$26:F$126,MATCH(C297,'Step 4 Stage Discharge'!E$26:E$126,1),1))</f>
        <v>0</v>
      </c>
      <c r="E297" s="219">
        <f>INDEX('Step 4 Stage Discharge'!E$26:M$126,MATCH(C297,'Step 4 Stage Discharge'!E$26:E$126,1),9)+(INDEX('Step 4 Stage Discharge'!E$26:M$126,MATCH('Step 6 Quality Check'!C297,'Step 4 Stage Discharge'!E$26:E$126,1)+1,9)-INDEX('Step 4 Stage Discharge'!E$26:M$126,MATCH('Step 6 Quality Check'!C297,'Step 4 Stage Discharge'!E$26:E$126,1),9))*('Step 6 Quality Check'!C297-INDEX('Step 4 Stage Discharge'!E$26:M$126,MATCH('Step 6 Quality Check'!C297,'Step 4 Stage Discharge'!E$26:E$126,1),1))/(INDEX('Step 4 Stage Discharge'!E$26:M$126,MATCH('Step 6 Quality Check'!C297,'Step 4 Stage Discharge'!E$26:E$126,1)+1,1)-INDEX('Step 4 Stage Discharge'!E$26:M$126,MATCH('Step 6 Quality Check'!C297,'Step 4 Stage Discharge'!E$26:E$126,1),1))</f>
        <v>4.3639431710317386E-3</v>
      </c>
      <c r="F297" s="218">
        <f t="shared" si="20"/>
        <v>0</v>
      </c>
      <c r="G297" s="218">
        <f t="shared" si="21"/>
        <v>0</v>
      </c>
    </row>
    <row r="298" spans="1:7">
      <c r="A298" s="217">
        <f t="shared" si="22"/>
        <v>1410</v>
      </c>
      <c r="B298" s="216">
        <f t="shared" si="23"/>
        <v>99.1</v>
      </c>
      <c r="C298" s="218">
        <f t="shared" si="24"/>
        <v>0</v>
      </c>
      <c r="D298" s="219">
        <f>INDEX('Step 4 Stage Discharge'!E$26:F$126,MATCH(C298,'Step 4 Stage Discharge'!E$26:E$126,1),2)+(INDEX('Step 4 Stage Discharge'!E$26:F$126,MATCH(C298,'Step 4 Stage Discharge'!E$26:E$126,1)+1,2)-INDEX('Step 4 Stage Discharge'!E$26:F$126,MATCH(C298,'Step 4 Stage Discharge'!E$26:E$126,1),2))*(C298-INDEX('Step 4 Stage Discharge'!E$26:F$126,MATCH(C298,'Step 4 Stage Discharge'!E$26:E$126,1),1))/(INDEX('Step 4 Stage Discharge'!E$26:F$126,MATCH(C298,'Step 4 Stage Discharge'!E$26:E$126,1)+1,1)-INDEX('Step 4 Stage Discharge'!E$26:F$126,MATCH(C298,'Step 4 Stage Discharge'!E$26:E$126,1),1))</f>
        <v>0</v>
      </c>
      <c r="E298" s="219">
        <f>INDEX('Step 4 Stage Discharge'!E$26:M$126,MATCH(C298,'Step 4 Stage Discharge'!E$26:E$126,1),9)+(INDEX('Step 4 Stage Discharge'!E$26:M$126,MATCH('Step 6 Quality Check'!C298,'Step 4 Stage Discharge'!E$26:E$126,1)+1,9)-INDEX('Step 4 Stage Discharge'!E$26:M$126,MATCH('Step 6 Quality Check'!C298,'Step 4 Stage Discharge'!E$26:E$126,1),9))*('Step 6 Quality Check'!C298-INDEX('Step 4 Stage Discharge'!E$26:M$126,MATCH('Step 6 Quality Check'!C298,'Step 4 Stage Discharge'!E$26:E$126,1),1))/(INDEX('Step 4 Stage Discharge'!E$26:M$126,MATCH('Step 6 Quality Check'!C298,'Step 4 Stage Discharge'!E$26:E$126,1)+1,1)-INDEX('Step 4 Stage Discharge'!E$26:M$126,MATCH('Step 6 Quality Check'!C298,'Step 4 Stage Discharge'!E$26:E$126,1),1))</f>
        <v>4.3639431710317386E-3</v>
      </c>
      <c r="F298" s="218">
        <f t="shared" si="20"/>
        <v>0</v>
      </c>
      <c r="G298" s="218">
        <f t="shared" si="21"/>
        <v>0</v>
      </c>
    </row>
    <row r="299" spans="1:7">
      <c r="A299" s="217">
        <f t="shared" si="22"/>
        <v>1415</v>
      </c>
      <c r="B299" s="216">
        <f t="shared" si="23"/>
        <v>99.1</v>
      </c>
      <c r="C299" s="218">
        <f t="shared" si="24"/>
        <v>0</v>
      </c>
      <c r="D299" s="219">
        <f>INDEX('Step 4 Stage Discharge'!E$26:F$126,MATCH(C299,'Step 4 Stage Discharge'!E$26:E$126,1),2)+(INDEX('Step 4 Stage Discharge'!E$26:F$126,MATCH(C299,'Step 4 Stage Discharge'!E$26:E$126,1)+1,2)-INDEX('Step 4 Stage Discharge'!E$26:F$126,MATCH(C299,'Step 4 Stage Discharge'!E$26:E$126,1),2))*(C299-INDEX('Step 4 Stage Discharge'!E$26:F$126,MATCH(C299,'Step 4 Stage Discharge'!E$26:E$126,1),1))/(INDEX('Step 4 Stage Discharge'!E$26:F$126,MATCH(C299,'Step 4 Stage Discharge'!E$26:E$126,1)+1,1)-INDEX('Step 4 Stage Discharge'!E$26:F$126,MATCH(C299,'Step 4 Stage Discharge'!E$26:E$126,1),1))</f>
        <v>0</v>
      </c>
      <c r="E299" s="219">
        <f>INDEX('Step 4 Stage Discharge'!E$26:M$126,MATCH(C299,'Step 4 Stage Discharge'!E$26:E$126,1),9)+(INDEX('Step 4 Stage Discharge'!E$26:M$126,MATCH('Step 6 Quality Check'!C299,'Step 4 Stage Discharge'!E$26:E$126,1)+1,9)-INDEX('Step 4 Stage Discharge'!E$26:M$126,MATCH('Step 6 Quality Check'!C299,'Step 4 Stage Discharge'!E$26:E$126,1),9))*('Step 6 Quality Check'!C299-INDEX('Step 4 Stage Discharge'!E$26:M$126,MATCH('Step 6 Quality Check'!C299,'Step 4 Stage Discharge'!E$26:E$126,1),1))/(INDEX('Step 4 Stage Discharge'!E$26:M$126,MATCH('Step 6 Quality Check'!C299,'Step 4 Stage Discharge'!E$26:E$126,1)+1,1)-INDEX('Step 4 Stage Discharge'!E$26:M$126,MATCH('Step 6 Quality Check'!C299,'Step 4 Stage Discharge'!E$26:E$126,1),1))</f>
        <v>4.3639431710317386E-3</v>
      </c>
      <c r="F299" s="218">
        <f t="shared" si="20"/>
        <v>0</v>
      </c>
      <c r="G299" s="218">
        <f t="shared" si="21"/>
        <v>0</v>
      </c>
    </row>
    <row r="300" spans="1:7">
      <c r="A300" s="217">
        <f t="shared" si="22"/>
        <v>1420</v>
      </c>
      <c r="B300" s="216">
        <f t="shared" si="23"/>
        <v>99.1</v>
      </c>
      <c r="C300" s="218">
        <f t="shared" si="24"/>
        <v>0</v>
      </c>
      <c r="D300" s="219">
        <f>INDEX('Step 4 Stage Discharge'!E$26:F$126,MATCH(C300,'Step 4 Stage Discharge'!E$26:E$126,1),2)+(INDEX('Step 4 Stage Discharge'!E$26:F$126,MATCH(C300,'Step 4 Stage Discharge'!E$26:E$126,1)+1,2)-INDEX('Step 4 Stage Discharge'!E$26:F$126,MATCH(C300,'Step 4 Stage Discharge'!E$26:E$126,1),2))*(C300-INDEX('Step 4 Stage Discharge'!E$26:F$126,MATCH(C300,'Step 4 Stage Discharge'!E$26:E$126,1),1))/(INDEX('Step 4 Stage Discharge'!E$26:F$126,MATCH(C300,'Step 4 Stage Discharge'!E$26:E$126,1)+1,1)-INDEX('Step 4 Stage Discharge'!E$26:F$126,MATCH(C300,'Step 4 Stage Discharge'!E$26:E$126,1),1))</f>
        <v>0</v>
      </c>
      <c r="E300" s="219">
        <f>INDEX('Step 4 Stage Discharge'!E$26:M$126,MATCH(C300,'Step 4 Stage Discharge'!E$26:E$126,1),9)+(INDEX('Step 4 Stage Discharge'!E$26:M$126,MATCH('Step 6 Quality Check'!C300,'Step 4 Stage Discharge'!E$26:E$126,1)+1,9)-INDEX('Step 4 Stage Discharge'!E$26:M$126,MATCH('Step 6 Quality Check'!C300,'Step 4 Stage Discharge'!E$26:E$126,1),9))*('Step 6 Quality Check'!C300-INDEX('Step 4 Stage Discharge'!E$26:M$126,MATCH('Step 6 Quality Check'!C300,'Step 4 Stage Discharge'!E$26:E$126,1),1))/(INDEX('Step 4 Stage Discharge'!E$26:M$126,MATCH('Step 6 Quality Check'!C300,'Step 4 Stage Discharge'!E$26:E$126,1)+1,1)-INDEX('Step 4 Stage Discharge'!E$26:M$126,MATCH('Step 6 Quality Check'!C300,'Step 4 Stage Discharge'!E$26:E$126,1),1))</f>
        <v>4.3639431710317386E-3</v>
      </c>
      <c r="F300" s="218">
        <f t="shared" si="20"/>
        <v>0</v>
      </c>
      <c r="G300" s="218">
        <f t="shared" si="21"/>
        <v>0</v>
      </c>
    </row>
    <row r="301" spans="1:7">
      <c r="A301" s="217">
        <f t="shared" si="22"/>
        <v>1425</v>
      </c>
      <c r="B301" s="216">
        <f t="shared" si="23"/>
        <v>99.1</v>
      </c>
      <c r="C301" s="218">
        <f t="shared" si="24"/>
        <v>0</v>
      </c>
      <c r="D301" s="219">
        <f>INDEX('Step 4 Stage Discharge'!E$26:F$126,MATCH(C301,'Step 4 Stage Discharge'!E$26:E$126,1),2)+(INDEX('Step 4 Stage Discharge'!E$26:F$126,MATCH(C301,'Step 4 Stage Discharge'!E$26:E$126,1)+1,2)-INDEX('Step 4 Stage Discharge'!E$26:F$126,MATCH(C301,'Step 4 Stage Discharge'!E$26:E$126,1),2))*(C301-INDEX('Step 4 Stage Discharge'!E$26:F$126,MATCH(C301,'Step 4 Stage Discharge'!E$26:E$126,1),1))/(INDEX('Step 4 Stage Discharge'!E$26:F$126,MATCH(C301,'Step 4 Stage Discharge'!E$26:E$126,1)+1,1)-INDEX('Step 4 Stage Discharge'!E$26:F$126,MATCH(C301,'Step 4 Stage Discharge'!E$26:E$126,1),1))</f>
        <v>0</v>
      </c>
      <c r="E301" s="219">
        <f>INDEX('Step 4 Stage Discharge'!E$26:M$126,MATCH(C301,'Step 4 Stage Discharge'!E$26:E$126,1),9)+(INDEX('Step 4 Stage Discharge'!E$26:M$126,MATCH('Step 6 Quality Check'!C301,'Step 4 Stage Discharge'!E$26:E$126,1)+1,9)-INDEX('Step 4 Stage Discharge'!E$26:M$126,MATCH('Step 6 Quality Check'!C301,'Step 4 Stage Discharge'!E$26:E$126,1),9))*('Step 6 Quality Check'!C301-INDEX('Step 4 Stage Discharge'!E$26:M$126,MATCH('Step 6 Quality Check'!C301,'Step 4 Stage Discharge'!E$26:E$126,1),1))/(INDEX('Step 4 Stage Discharge'!E$26:M$126,MATCH('Step 6 Quality Check'!C301,'Step 4 Stage Discharge'!E$26:E$126,1)+1,1)-INDEX('Step 4 Stage Discharge'!E$26:M$126,MATCH('Step 6 Quality Check'!C301,'Step 4 Stage Discharge'!E$26:E$126,1),1))</f>
        <v>4.3639431710317386E-3</v>
      </c>
      <c r="F301" s="218">
        <f t="shared" si="20"/>
        <v>0</v>
      </c>
      <c r="G301" s="218">
        <f t="shared" si="21"/>
        <v>0</v>
      </c>
    </row>
    <row r="302" spans="1:7">
      <c r="A302" s="217">
        <f t="shared" si="22"/>
        <v>1430</v>
      </c>
      <c r="B302" s="216">
        <f t="shared" si="23"/>
        <v>99.1</v>
      </c>
      <c r="C302" s="218">
        <f t="shared" si="24"/>
        <v>0</v>
      </c>
      <c r="D302" s="219">
        <f>INDEX('Step 4 Stage Discharge'!E$26:F$126,MATCH(C302,'Step 4 Stage Discharge'!E$26:E$126,1),2)+(INDEX('Step 4 Stage Discharge'!E$26:F$126,MATCH(C302,'Step 4 Stage Discharge'!E$26:E$126,1)+1,2)-INDEX('Step 4 Stage Discharge'!E$26:F$126,MATCH(C302,'Step 4 Stage Discharge'!E$26:E$126,1),2))*(C302-INDEX('Step 4 Stage Discharge'!E$26:F$126,MATCH(C302,'Step 4 Stage Discharge'!E$26:E$126,1),1))/(INDEX('Step 4 Stage Discharge'!E$26:F$126,MATCH(C302,'Step 4 Stage Discharge'!E$26:E$126,1)+1,1)-INDEX('Step 4 Stage Discharge'!E$26:F$126,MATCH(C302,'Step 4 Stage Discharge'!E$26:E$126,1),1))</f>
        <v>0</v>
      </c>
      <c r="E302" s="219">
        <f>INDEX('Step 4 Stage Discharge'!E$26:M$126,MATCH(C302,'Step 4 Stage Discharge'!E$26:E$126,1),9)+(INDEX('Step 4 Stage Discharge'!E$26:M$126,MATCH('Step 6 Quality Check'!C302,'Step 4 Stage Discharge'!E$26:E$126,1)+1,9)-INDEX('Step 4 Stage Discharge'!E$26:M$126,MATCH('Step 6 Quality Check'!C302,'Step 4 Stage Discharge'!E$26:E$126,1),9))*('Step 6 Quality Check'!C302-INDEX('Step 4 Stage Discharge'!E$26:M$126,MATCH('Step 6 Quality Check'!C302,'Step 4 Stage Discharge'!E$26:E$126,1),1))/(INDEX('Step 4 Stage Discharge'!E$26:M$126,MATCH('Step 6 Quality Check'!C302,'Step 4 Stage Discharge'!E$26:E$126,1)+1,1)-INDEX('Step 4 Stage Discharge'!E$26:M$126,MATCH('Step 6 Quality Check'!C302,'Step 4 Stage Discharge'!E$26:E$126,1),1))</f>
        <v>4.3639431710317386E-3</v>
      </c>
      <c r="F302" s="218">
        <f t="shared" si="20"/>
        <v>0</v>
      </c>
      <c r="G302" s="218">
        <f t="shared" si="21"/>
        <v>0</v>
      </c>
    </row>
    <row r="303" spans="1:7">
      <c r="A303" s="217">
        <f t="shared" si="22"/>
        <v>1435</v>
      </c>
      <c r="B303" s="216">
        <f t="shared" si="23"/>
        <v>99.1</v>
      </c>
      <c r="C303" s="218">
        <f t="shared" si="24"/>
        <v>0</v>
      </c>
      <c r="D303" s="219">
        <f>INDEX('Step 4 Stage Discharge'!E$26:F$126,MATCH(C303,'Step 4 Stage Discharge'!E$26:E$126,1),2)+(INDEX('Step 4 Stage Discharge'!E$26:F$126,MATCH(C303,'Step 4 Stage Discharge'!E$26:E$126,1)+1,2)-INDEX('Step 4 Stage Discharge'!E$26:F$126,MATCH(C303,'Step 4 Stage Discharge'!E$26:E$126,1),2))*(C303-INDEX('Step 4 Stage Discharge'!E$26:F$126,MATCH(C303,'Step 4 Stage Discharge'!E$26:E$126,1),1))/(INDEX('Step 4 Stage Discharge'!E$26:F$126,MATCH(C303,'Step 4 Stage Discharge'!E$26:E$126,1)+1,1)-INDEX('Step 4 Stage Discharge'!E$26:F$126,MATCH(C303,'Step 4 Stage Discharge'!E$26:E$126,1),1))</f>
        <v>0</v>
      </c>
      <c r="E303" s="219">
        <f>INDEX('Step 4 Stage Discharge'!E$26:M$126,MATCH(C303,'Step 4 Stage Discharge'!E$26:E$126,1),9)+(INDEX('Step 4 Stage Discharge'!E$26:M$126,MATCH('Step 6 Quality Check'!C303,'Step 4 Stage Discharge'!E$26:E$126,1)+1,9)-INDEX('Step 4 Stage Discharge'!E$26:M$126,MATCH('Step 6 Quality Check'!C303,'Step 4 Stage Discharge'!E$26:E$126,1),9))*('Step 6 Quality Check'!C303-INDEX('Step 4 Stage Discharge'!E$26:M$126,MATCH('Step 6 Quality Check'!C303,'Step 4 Stage Discharge'!E$26:E$126,1),1))/(INDEX('Step 4 Stage Discharge'!E$26:M$126,MATCH('Step 6 Quality Check'!C303,'Step 4 Stage Discharge'!E$26:E$126,1)+1,1)-INDEX('Step 4 Stage Discharge'!E$26:M$126,MATCH('Step 6 Quality Check'!C303,'Step 4 Stage Discharge'!E$26:E$126,1),1))</f>
        <v>4.3639431710317386E-3</v>
      </c>
      <c r="F303" s="218">
        <f t="shared" si="20"/>
        <v>0</v>
      </c>
      <c r="G303" s="218">
        <f t="shared" si="21"/>
        <v>0</v>
      </c>
    </row>
    <row r="304" spans="1:7">
      <c r="A304" s="217">
        <f t="shared" si="22"/>
        <v>1440</v>
      </c>
      <c r="B304" s="216">
        <f t="shared" si="23"/>
        <v>99.1</v>
      </c>
      <c r="C304" s="218">
        <f t="shared" si="24"/>
        <v>0</v>
      </c>
      <c r="D304" s="219">
        <f>INDEX('Step 4 Stage Discharge'!E$26:F$126,MATCH(C304,'Step 4 Stage Discharge'!E$26:E$126,1),2)+(INDEX('Step 4 Stage Discharge'!E$26:F$126,MATCH(C304,'Step 4 Stage Discharge'!E$26:E$126,1)+1,2)-INDEX('Step 4 Stage Discharge'!E$26:F$126,MATCH(C304,'Step 4 Stage Discharge'!E$26:E$126,1),2))*(C304-INDEX('Step 4 Stage Discharge'!E$26:F$126,MATCH(C304,'Step 4 Stage Discharge'!E$26:E$126,1),1))/(INDEX('Step 4 Stage Discharge'!E$26:F$126,MATCH(C304,'Step 4 Stage Discharge'!E$26:E$126,1)+1,1)-INDEX('Step 4 Stage Discharge'!E$26:F$126,MATCH(C304,'Step 4 Stage Discharge'!E$26:E$126,1),1))</f>
        <v>0</v>
      </c>
      <c r="E304" s="219">
        <f>INDEX('Step 4 Stage Discharge'!E$26:M$126,MATCH(C304,'Step 4 Stage Discharge'!E$26:E$126,1),9)+(INDEX('Step 4 Stage Discharge'!E$26:M$126,MATCH('Step 6 Quality Check'!C304,'Step 4 Stage Discharge'!E$26:E$126,1)+1,9)-INDEX('Step 4 Stage Discharge'!E$26:M$126,MATCH('Step 6 Quality Check'!C304,'Step 4 Stage Discharge'!E$26:E$126,1),9))*('Step 6 Quality Check'!C304-INDEX('Step 4 Stage Discharge'!E$26:M$126,MATCH('Step 6 Quality Check'!C304,'Step 4 Stage Discharge'!E$26:E$126,1),1))/(INDEX('Step 4 Stage Discharge'!E$26:M$126,MATCH('Step 6 Quality Check'!C304,'Step 4 Stage Discharge'!E$26:E$126,1)+1,1)-INDEX('Step 4 Stage Discharge'!E$26:M$126,MATCH('Step 6 Quality Check'!C304,'Step 4 Stage Discharge'!E$26:E$126,1),1))</f>
        <v>4.3639431710317386E-3</v>
      </c>
      <c r="F304" s="218">
        <f t="shared" si="20"/>
        <v>0</v>
      </c>
      <c r="G304" s="218">
        <f t="shared" si="21"/>
        <v>0</v>
      </c>
    </row>
    <row r="305" spans="1:7">
      <c r="A305" s="217">
        <f t="shared" si="22"/>
        <v>1445</v>
      </c>
      <c r="B305" s="216">
        <f t="shared" si="23"/>
        <v>99.1</v>
      </c>
      <c r="C305" s="218">
        <f t="shared" si="24"/>
        <v>0</v>
      </c>
      <c r="D305" s="219">
        <f>INDEX('Step 4 Stage Discharge'!E$26:F$126,MATCH(C305,'Step 4 Stage Discharge'!E$26:E$126,1),2)+(INDEX('Step 4 Stage Discharge'!E$26:F$126,MATCH(C305,'Step 4 Stage Discharge'!E$26:E$126,1)+1,2)-INDEX('Step 4 Stage Discharge'!E$26:F$126,MATCH(C305,'Step 4 Stage Discharge'!E$26:E$126,1),2))*(C305-INDEX('Step 4 Stage Discharge'!E$26:F$126,MATCH(C305,'Step 4 Stage Discharge'!E$26:E$126,1),1))/(INDEX('Step 4 Stage Discharge'!E$26:F$126,MATCH(C305,'Step 4 Stage Discharge'!E$26:E$126,1)+1,1)-INDEX('Step 4 Stage Discharge'!E$26:F$126,MATCH(C305,'Step 4 Stage Discharge'!E$26:E$126,1),1))</f>
        <v>0</v>
      </c>
      <c r="E305" s="219">
        <f>INDEX('Step 4 Stage Discharge'!E$26:M$126,MATCH(C305,'Step 4 Stage Discharge'!E$26:E$126,1),9)+(INDEX('Step 4 Stage Discharge'!E$26:M$126,MATCH('Step 6 Quality Check'!C305,'Step 4 Stage Discharge'!E$26:E$126,1)+1,9)-INDEX('Step 4 Stage Discharge'!E$26:M$126,MATCH('Step 6 Quality Check'!C305,'Step 4 Stage Discharge'!E$26:E$126,1),9))*('Step 6 Quality Check'!C305-INDEX('Step 4 Stage Discharge'!E$26:M$126,MATCH('Step 6 Quality Check'!C305,'Step 4 Stage Discharge'!E$26:E$126,1),1))/(INDEX('Step 4 Stage Discharge'!E$26:M$126,MATCH('Step 6 Quality Check'!C305,'Step 4 Stage Discharge'!E$26:E$126,1)+1,1)-INDEX('Step 4 Stage Discharge'!E$26:M$126,MATCH('Step 6 Quality Check'!C305,'Step 4 Stage Discharge'!E$26:E$126,1),1))</f>
        <v>4.3639431710317386E-3</v>
      </c>
      <c r="F305" s="218">
        <f t="shared" si="20"/>
        <v>0</v>
      </c>
      <c r="G305" s="218">
        <f t="shared" si="21"/>
        <v>0</v>
      </c>
    </row>
    <row r="306" spans="1:7">
      <c r="A306" s="217">
        <f t="shared" si="22"/>
        <v>1450</v>
      </c>
      <c r="B306" s="216">
        <f t="shared" si="23"/>
        <v>99.1</v>
      </c>
      <c r="C306" s="218">
        <f t="shared" si="24"/>
        <v>0</v>
      </c>
      <c r="D306" s="219">
        <f>INDEX('Step 4 Stage Discharge'!E$26:F$126,MATCH(C306,'Step 4 Stage Discharge'!E$26:E$126,1),2)+(INDEX('Step 4 Stage Discharge'!E$26:F$126,MATCH(C306,'Step 4 Stage Discharge'!E$26:E$126,1)+1,2)-INDEX('Step 4 Stage Discharge'!E$26:F$126,MATCH(C306,'Step 4 Stage Discharge'!E$26:E$126,1),2))*(C306-INDEX('Step 4 Stage Discharge'!E$26:F$126,MATCH(C306,'Step 4 Stage Discharge'!E$26:E$126,1),1))/(INDEX('Step 4 Stage Discharge'!E$26:F$126,MATCH(C306,'Step 4 Stage Discharge'!E$26:E$126,1)+1,1)-INDEX('Step 4 Stage Discharge'!E$26:F$126,MATCH(C306,'Step 4 Stage Discharge'!E$26:E$126,1),1))</f>
        <v>0</v>
      </c>
      <c r="E306" s="219">
        <f>INDEX('Step 4 Stage Discharge'!E$26:M$126,MATCH(C306,'Step 4 Stage Discharge'!E$26:E$126,1),9)+(INDEX('Step 4 Stage Discharge'!E$26:M$126,MATCH('Step 6 Quality Check'!C306,'Step 4 Stage Discharge'!E$26:E$126,1)+1,9)-INDEX('Step 4 Stage Discharge'!E$26:M$126,MATCH('Step 6 Quality Check'!C306,'Step 4 Stage Discharge'!E$26:E$126,1),9))*('Step 6 Quality Check'!C306-INDEX('Step 4 Stage Discharge'!E$26:M$126,MATCH('Step 6 Quality Check'!C306,'Step 4 Stage Discharge'!E$26:E$126,1),1))/(INDEX('Step 4 Stage Discharge'!E$26:M$126,MATCH('Step 6 Quality Check'!C306,'Step 4 Stage Discharge'!E$26:E$126,1)+1,1)-INDEX('Step 4 Stage Discharge'!E$26:M$126,MATCH('Step 6 Quality Check'!C306,'Step 4 Stage Discharge'!E$26:E$126,1),1))</f>
        <v>4.3639431710317386E-3</v>
      </c>
      <c r="F306" s="218">
        <f t="shared" si="20"/>
        <v>0</v>
      </c>
      <c r="G306" s="218">
        <f t="shared" si="21"/>
        <v>0</v>
      </c>
    </row>
    <row r="307" spans="1:7">
      <c r="A307" s="217">
        <f t="shared" si="22"/>
        <v>1455</v>
      </c>
      <c r="B307" s="216">
        <f t="shared" si="23"/>
        <v>99.1</v>
      </c>
      <c r="C307" s="218">
        <f t="shared" si="24"/>
        <v>0</v>
      </c>
      <c r="D307" s="219">
        <f>INDEX('Step 4 Stage Discharge'!E$26:F$126,MATCH(C307,'Step 4 Stage Discharge'!E$26:E$126,1),2)+(INDEX('Step 4 Stage Discharge'!E$26:F$126,MATCH(C307,'Step 4 Stage Discharge'!E$26:E$126,1)+1,2)-INDEX('Step 4 Stage Discharge'!E$26:F$126,MATCH(C307,'Step 4 Stage Discharge'!E$26:E$126,1),2))*(C307-INDEX('Step 4 Stage Discharge'!E$26:F$126,MATCH(C307,'Step 4 Stage Discharge'!E$26:E$126,1),1))/(INDEX('Step 4 Stage Discharge'!E$26:F$126,MATCH(C307,'Step 4 Stage Discharge'!E$26:E$126,1)+1,1)-INDEX('Step 4 Stage Discharge'!E$26:F$126,MATCH(C307,'Step 4 Stage Discharge'!E$26:E$126,1),1))</f>
        <v>0</v>
      </c>
      <c r="E307" s="219">
        <f>INDEX('Step 4 Stage Discharge'!E$26:M$126,MATCH(C307,'Step 4 Stage Discharge'!E$26:E$126,1),9)+(INDEX('Step 4 Stage Discharge'!E$26:M$126,MATCH('Step 6 Quality Check'!C307,'Step 4 Stage Discharge'!E$26:E$126,1)+1,9)-INDEX('Step 4 Stage Discharge'!E$26:M$126,MATCH('Step 6 Quality Check'!C307,'Step 4 Stage Discharge'!E$26:E$126,1),9))*('Step 6 Quality Check'!C307-INDEX('Step 4 Stage Discharge'!E$26:M$126,MATCH('Step 6 Quality Check'!C307,'Step 4 Stage Discharge'!E$26:E$126,1),1))/(INDEX('Step 4 Stage Discharge'!E$26:M$126,MATCH('Step 6 Quality Check'!C307,'Step 4 Stage Discharge'!E$26:E$126,1)+1,1)-INDEX('Step 4 Stage Discharge'!E$26:M$126,MATCH('Step 6 Quality Check'!C307,'Step 4 Stage Discharge'!E$26:E$126,1),1))</f>
        <v>4.3639431710317386E-3</v>
      </c>
      <c r="F307" s="218">
        <f t="shared" si="20"/>
        <v>0</v>
      </c>
      <c r="G307" s="218">
        <f t="shared" si="21"/>
        <v>0</v>
      </c>
    </row>
    <row r="308" spans="1:7">
      <c r="A308" s="217">
        <f t="shared" si="22"/>
        <v>1460</v>
      </c>
      <c r="B308" s="216">
        <f t="shared" si="23"/>
        <v>99.1</v>
      </c>
      <c r="C308" s="218">
        <f t="shared" si="24"/>
        <v>0</v>
      </c>
      <c r="D308" s="219">
        <f>INDEX('Step 4 Stage Discharge'!E$26:F$126,MATCH(C308,'Step 4 Stage Discharge'!E$26:E$126,1),2)+(INDEX('Step 4 Stage Discharge'!E$26:F$126,MATCH(C308,'Step 4 Stage Discharge'!E$26:E$126,1)+1,2)-INDEX('Step 4 Stage Discharge'!E$26:F$126,MATCH(C308,'Step 4 Stage Discharge'!E$26:E$126,1),2))*(C308-INDEX('Step 4 Stage Discharge'!E$26:F$126,MATCH(C308,'Step 4 Stage Discharge'!E$26:E$126,1),1))/(INDEX('Step 4 Stage Discharge'!E$26:F$126,MATCH(C308,'Step 4 Stage Discharge'!E$26:E$126,1)+1,1)-INDEX('Step 4 Stage Discharge'!E$26:F$126,MATCH(C308,'Step 4 Stage Discharge'!E$26:E$126,1),1))</f>
        <v>0</v>
      </c>
      <c r="E308" s="219">
        <f>INDEX('Step 4 Stage Discharge'!E$26:M$126,MATCH(C308,'Step 4 Stage Discharge'!E$26:E$126,1),9)+(INDEX('Step 4 Stage Discharge'!E$26:M$126,MATCH('Step 6 Quality Check'!C308,'Step 4 Stage Discharge'!E$26:E$126,1)+1,9)-INDEX('Step 4 Stage Discharge'!E$26:M$126,MATCH('Step 6 Quality Check'!C308,'Step 4 Stage Discharge'!E$26:E$126,1),9))*('Step 6 Quality Check'!C308-INDEX('Step 4 Stage Discharge'!E$26:M$126,MATCH('Step 6 Quality Check'!C308,'Step 4 Stage Discharge'!E$26:E$126,1),1))/(INDEX('Step 4 Stage Discharge'!E$26:M$126,MATCH('Step 6 Quality Check'!C308,'Step 4 Stage Discharge'!E$26:E$126,1)+1,1)-INDEX('Step 4 Stage Discharge'!E$26:M$126,MATCH('Step 6 Quality Check'!C308,'Step 4 Stage Discharge'!E$26:E$126,1),1))</f>
        <v>4.3639431710317386E-3</v>
      </c>
      <c r="F308" s="218">
        <f t="shared" si="20"/>
        <v>0</v>
      </c>
      <c r="G308" s="218">
        <f t="shared" si="21"/>
        <v>0</v>
      </c>
    </row>
    <row r="309" spans="1:7">
      <c r="A309" s="217">
        <f t="shared" si="22"/>
        <v>1465</v>
      </c>
      <c r="B309" s="216">
        <f t="shared" si="23"/>
        <v>99.1</v>
      </c>
      <c r="C309" s="218">
        <f t="shared" si="24"/>
        <v>0</v>
      </c>
      <c r="D309" s="219">
        <f>INDEX('Step 4 Stage Discharge'!E$26:F$126,MATCH(C309,'Step 4 Stage Discharge'!E$26:E$126,1),2)+(INDEX('Step 4 Stage Discharge'!E$26:F$126,MATCH(C309,'Step 4 Stage Discharge'!E$26:E$126,1)+1,2)-INDEX('Step 4 Stage Discharge'!E$26:F$126,MATCH(C309,'Step 4 Stage Discharge'!E$26:E$126,1),2))*(C309-INDEX('Step 4 Stage Discharge'!E$26:F$126,MATCH(C309,'Step 4 Stage Discharge'!E$26:E$126,1),1))/(INDEX('Step 4 Stage Discharge'!E$26:F$126,MATCH(C309,'Step 4 Stage Discharge'!E$26:E$126,1)+1,1)-INDEX('Step 4 Stage Discharge'!E$26:F$126,MATCH(C309,'Step 4 Stage Discharge'!E$26:E$126,1),1))</f>
        <v>0</v>
      </c>
      <c r="E309" s="219">
        <f>INDEX('Step 4 Stage Discharge'!E$26:M$126,MATCH(C309,'Step 4 Stage Discharge'!E$26:E$126,1),9)+(INDEX('Step 4 Stage Discharge'!E$26:M$126,MATCH('Step 6 Quality Check'!C309,'Step 4 Stage Discharge'!E$26:E$126,1)+1,9)-INDEX('Step 4 Stage Discharge'!E$26:M$126,MATCH('Step 6 Quality Check'!C309,'Step 4 Stage Discharge'!E$26:E$126,1),9))*('Step 6 Quality Check'!C309-INDEX('Step 4 Stage Discharge'!E$26:M$126,MATCH('Step 6 Quality Check'!C309,'Step 4 Stage Discharge'!E$26:E$126,1),1))/(INDEX('Step 4 Stage Discharge'!E$26:M$126,MATCH('Step 6 Quality Check'!C309,'Step 4 Stage Discharge'!E$26:E$126,1)+1,1)-INDEX('Step 4 Stage Discharge'!E$26:M$126,MATCH('Step 6 Quality Check'!C309,'Step 4 Stage Discharge'!E$26:E$126,1),1))</f>
        <v>4.3639431710317386E-3</v>
      </c>
      <c r="F309" s="218">
        <f t="shared" si="20"/>
        <v>0</v>
      </c>
      <c r="G309" s="218">
        <f t="shared" si="21"/>
        <v>0</v>
      </c>
    </row>
    <row r="310" spans="1:7">
      <c r="A310" s="217">
        <f t="shared" si="22"/>
        <v>1470</v>
      </c>
      <c r="B310" s="216">
        <f t="shared" si="23"/>
        <v>99.1</v>
      </c>
      <c r="C310" s="218">
        <f t="shared" si="24"/>
        <v>0</v>
      </c>
      <c r="D310" s="219">
        <f>INDEX('Step 4 Stage Discharge'!E$26:F$126,MATCH(C310,'Step 4 Stage Discharge'!E$26:E$126,1),2)+(INDEX('Step 4 Stage Discharge'!E$26:F$126,MATCH(C310,'Step 4 Stage Discharge'!E$26:E$126,1)+1,2)-INDEX('Step 4 Stage Discharge'!E$26:F$126,MATCH(C310,'Step 4 Stage Discharge'!E$26:E$126,1),2))*(C310-INDEX('Step 4 Stage Discharge'!E$26:F$126,MATCH(C310,'Step 4 Stage Discharge'!E$26:E$126,1),1))/(INDEX('Step 4 Stage Discharge'!E$26:F$126,MATCH(C310,'Step 4 Stage Discharge'!E$26:E$126,1)+1,1)-INDEX('Step 4 Stage Discharge'!E$26:F$126,MATCH(C310,'Step 4 Stage Discharge'!E$26:E$126,1),1))</f>
        <v>0</v>
      </c>
      <c r="E310" s="219">
        <f>INDEX('Step 4 Stage Discharge'!E$26:M$126,MATCH(C310,'Step 4 Stage Discharge'!E$26:E$126,1),9)+(INDEX('Step 4 Stage Discharge'!E$26:M$126,MATCH('Step 6 Quality Check'!C310,'Step 4 Stage Discharge'!E$26:E$126,1)+1,9)-INDEX('Step 4 Stage Discharge'!E$26:M$126,MATCH('Step 6 Quality Check'!C310,'Step 4 Stage Discharge'!E$26:E$126,1),9))*('Step 6 Quality Check'!C310-INDEX('Step 4 Stage Discharge'!E$26:M$126,MATCH('Step 6 Quality Check'!C310,'Step 4 Stage Discharge'!E$26:E$126,1),1))/(INDEX('Step 4 Stage Discharge'!E$26:M$126,MATCH('Step 6 Quality Check'!C310,'Step 4 Stage Discharge'!E$26:E$126,1)+1,1)-INDEX('Step 4 Stage Discharge'!E$26:M$126,MATCH('Step 6 Quality Check'!C310,'Step 4 Stage Discharge'!E$26:E$126,1),1))</f>
        <v>4.3639431710317386E-3</v>
      </c>
      <c r="F310" s="218">
        <f t="shared" si="20"/>
        <v>0</v>
      </c>
      <c r="G310" s="218">
        <f t="shared" si="21"/>
        <v>0</v>
      </c>
    </row>
    <row r="311" spans="1:7">
      <c r="A311" s="217">
        <f t="shared" si="22"/>
        <v>1475</v>
      </c>
      <c r="B311" s="216">
        <f t="shared" si="23"/>
        <v>99.1</v>
      </c>
      <c r="C311" s="218">
        <f t="shared" si="24"/>
        <v>0</v>
      </c>
      <c r="D311" s="219">
        <f>INDEX('Step 4 Stage Discharge'!E$26:F$126,MATCH(C311,'Step 4 Stage Discharge'!E$26:E$126,1),2)+(INDEX('Step 4 Stage Discharge'!E$26:F$126,MATCH(C311,'Step 4 Stage Discharge'!E$26:E$126,1)+1,2)-INDEX('Step 4 Stage Discharge'!E$26:F$126,MATCH(C311,'Step 4 Stage Discharge'!E$26:E$126,1),2))*(C311-INDEX('Step 4 Stage Discharge'!E$26:F$126,MATCH(C311,'Step 4 Stage Discharge'!E$26:E$126,1),1))/(INDEX('Step 4 Stage Discharge'!E$26:F$126,MATCH(C311,'Step 4 Stage Discharge'!E$26:E$126,1)+1,1)-INDEX('Step 4 Stage Discharge'!E$26:F$126,MATCH(C311,'Step 4 Stage Discharge'!E$26:E$126,1),1))</f>
        <v>0</v>
      </c>
      <c r="E311" s="219">
        <f>INDEX('Step 4 Stage Discharge'!E$26:M$126,MATCH(C311,'Step 4 Stage Discharge'!E$26:E$126,1),9)+(INDEX('Step 4 Stage Discharge'!E$26:M$126,MATCH('Step 6 Quality Check'!C311,'Step 4 Stage Discharge'!E$26:E$126,1)+1,9)-INDEX('Step 4 Stage Discharge'!E$26:M$126,MATCH('Step 6 Quality Check'!C311,'Step 4 Stage Discharge'!E$26:E$126,1),9))*('Step 6 Quality Check'!C311-INDEX('Step 4 Stage Discharge'!E$26:M$126,MATCH('Step 6 Quality Check'!C311,'Step 4 Stage Discharge'!E$26:E$126,1),1))/(INDEX('Step 4 Stage Discharge'!E$26:M$126,MATCH('Step 6 Quality Check'!C311,'Step 4 Stage Discharge'!E$26:E$126,1)+1,1)-INDEX('Step 4 Stage Discharge'!E$26:M$126,MATCH('Step 6 Quality Check'!C311,'Step 4 Stage Discharge'!E$26:E$126,1),1))</f>
        <v>4.3639431710317386E-3</v>
      </c>
      <c r="F311" s="218">
        <f t="shared" si="20"/>
        <v>0</v>
      </c>
      <c r="G311" s="218">
        <f t="shared" si="21"/>
        <v>0</v>
      </c>
    </row>
    <row r="312" spans="1:7">
      <c r="A312" s="217">
        <f t="shared" si="22"/>
        <v>1480</v>
      </c>
      <c r="B312" s="216">
        <f t="shared" si="23"/>
        <v>99.1</v>
      </c>
      <c r="C312" s="218">
        <f t="shared" si="24"/>
        <v>0</v>
      </c>
      <c r="D312" s="219">
        <f>INDEX('Step 4 Stage Discharge'!E$26:F$126,MATCH(C312,'Step 4 Stage Discharge'!E$26:E$126,1),2)+(INDEX('Step 4 Stage Discharge'!E$26:F$126,MATCH(C312,'Step 4 Stage Discharge'!E$26:E$126,1)+1,2)-INDEX('Step 4 Stage Discharge'!E$26:F$126,MATCH(C312,'Step 4 Stage Discharge'!E$26:E$126,1),2))*(C312-INDEX('Step 4 Stage Discharge'!E$26:F$126,MATCH(C312,'Step 4 Stage Discharge'!E$26:E$126,1),1))/(INDEX('Step 4 Stage Discharge'!E$26:F$126,MATCH(C312,'Step 4 Stage Discharge'!E$26:E$126,1)+1,1)-INDEX('Step 4 Stage Discharge'!E$26:F$126,MATCH(C312,'Step 4 Stage Discharge'!E$26:E$126,1),1))</f>
        <v>0</v>
      </c>
      <c r="E312" s="219">
        <f>INDEX('Step 4 Stage Discharge'!E$26:M$126,MATCH(C312,'Step 4 Stage Discharge'!E$26:E$126,1),9)+(INDEX('Step 4 Stage Discharge'!E$26:M$126,MATCH('Step 6 Quality Check'!C312,'Step 4 Stage Discharge'!E$26:E$126,1)+1,9)-INDEX('Step 4 Stage Discharge'!E$26:M$126,MATCH('Step 6 Quality Check'!C312,'Step 4 Stage Discharge'!E$26:E$126,1),9))*('Step 6 Quality Check'!C312-INDEX('Step 4 Stage Discharge'!E$26:M$126,MATCH('Step 6 Quality Check'!C312,'Step 4 Stage Discharge'!E$26:E$126,1),1))/(INDEX('Step 4 Stage Discharge'!E$26:M$126,MATCH('Step 6 Quality Check'!C312,'Step 4 Stage Discharge'!E$26:E$126,1)+1,1)-INDEX('Step 4 Stage Discharge'!E$26:M$126,MATCH('Step 6 Quality Check'!C312,'Step 4 Stage Discharge'!E$26:E$126,1),1))</f>
        <v>4.3639431710317386E-3</v>
      </c>
      <c r="F312" s="218">
        <f t="shared" si="20"/>
        <v>0</v>
      </c>
      <c r="G312" s="218">
        <f t="shared" si="21"/>
        <v>0</v>
      </c>
    </row>
    <row r="313" spans="1:7">
      <c r="A313" s="217">
        <f t="shared" si="22"/>
        <v>1485</v>
      </c>
      <c r="B313" s="216">
        <f t="shared" si="23"/>
        <v>99.1</v>
      </c>
      <c r="C313" s="218">
        <f t="shared" si="24"/>
        <v>0</v>
      </c>
      <c r="D313" s="219">
        <f>INDEX('Step 4 Stage Discharge'!E$26:F$126,MATCH(C313,'Step 4 Stage Discharge'!E$26:E$126,1),2)+(INDEX('Step 4 Stage Discharge'!E$26:F$126,MATCH(C313,'Step 4 Stage Discharge'!E$26:E$126,1)+1,2)-INDEX('Step 4 Stage Discharge'!E$26:F$126,MATCH(C313,'Step 4 Stage Discharge'!E$26:E$126,1),2))*(C313-INDEX('Step 4 Stage Discharge'!E$26:F$126,MATCH(C313,'Step 4 Stage Discharge'!E$26:E$126,1),1))/(INDEX('Step 4 Stage Discharge'!E$26:F$126,MATCH(C313,'Step 4 Stage Discharge'!E$26:E$126,1)+1,1)-INDEX('Step 4 Stage Discharge'!E$26:F$126,MATCH(C313,'Step 4 Stage Discharge'!E$26:E$126,1),1))</f>
        <v>0</v>
      </c>
      <c r="E313" s="219">
        <f>INDEX('Step 4 Stage Discharge'!E$26:M$126,MATCH(C313,'Step 4 Stage Discharge'!E$26:E$126,1),9)+(INDEX('Step 4 Stage Discharge'!E$26:M$126,MATCH('Step 6 Quality Check'!C313,'Step 4 Stage Discharge'!E$26:E$126,1)+1,9)-INDEX('Step 4 Stage Discharge'!E$26:M$126,MATCH('Step 6 Quality Check'!C313,'Step 4 Stage Discharge'!E$26:E$126,1),9))*('Step 6 Quality Check'!C313-INDEX('Step 4 Stage Discharge'!E$26:M$126,MATCH('Step 6 Quality Check'!C313,'Step 4 Stage Discharge'!E$26:E$126,1),1))/(INDEX('Step 4 Stage Discharge'!E$26:M$126,MATCH('Step 6 Quality Check'!C313,'Step 4 Stage Discharge'!E$26:E$126,1)+1,1)-INDEX('Step 4 Stage Discharge'!E$26:M$126,MATCH('Step 6 Quality Check'!C313,'Step 4 Stage Discharge'!E$26:E$126,1),1))</f>
        <v>4.3639431710317386E-3</v>
      </c>
      <c r="F313" s="218">
        <f t="shared" si="20"/>
        <v>0</v>
      </c>
      <c r="G313" s="218">
        <f t="shared" si="21"/>
        <v>0</v>
      </c>
    </row>
    <row r="314" spans="1:7">
      <c r="A314" s="217">
        <f t="shared" si="22"/>
        <v>1490</v>
      </c>
      <c r="B314" s="216">
        <f t="shared" si="23"/>
        <v>99.1</v>
      </c>
      <c r="C314" s="218">
        <f t="shared" si="24"/>
        <v>0</v>
      </c>
      <c r="D314" s="219">
        <f>INDEX('Step 4 Stage Discharge'!E$26:F$126,MATCH(C314,'Step 4 Stage Discharge'!E$26:E$126,1),2)+(INDEX('Step 4 Stage Discharge'!E$26:F$126,MATCH(C314,'Step 4 Stage Discharge'!E$26:E$126,1)+1,2)-INDEX('Step 4 Stage Discharge'!E$26:F$126,MATCH(C314,'Step 4 Stage Discharge'!E$26:E$126,1),2))*(C314-INDEX('Step 4 Stage Discharge'!E$26:F$126,MATCH(C314,'Step 4 Stage Discharge'!E$26:E$126,1),1))/(INDEX('Step 4 Stage Discharge'!E$26:F$126,MATCH(C314,'Step 4 Stage Discharge'!E$26:E$126,1)+1,1)-INDEX('Step 4 Stage Discharge'!E$26:F$126,MATCH(C314,'Step 4 Stage Discharge'!E$26:E$126,1),1))</f>
        <v>0</v>
      </c>
      <c r="E314" s="219">
        <f>INDEX('Step 4 Stage Discharge'!E$26:M$126,MATCH(C314,'Step 4 Stage Discharge'!E$26:E$126,1),9)+(INDEX('Step 4 Stage Discharge'!E$26:M$126,MATCH('Step 6 Quality Check'!C314,'Step 4 Stage Discharge'!E$26:E$126,1)+1,9)-INDEX('Step 4 Stage Discharge'!E$26:M$126,MATCH('Step 6 Quality Check'!C314,'Step 4 Stage Discharge'!E$26:E$126,1),9))*('Step 6 Quality Check'!C314-INDEX('Step 4 Stage Discharge'!E$26:M$126,MATCH('Step 6 Quality Check'!C314,'Step 4 Stage Discharge'!E$26:E$126,1),1))/(INDEX('Step 4 Stage Discharge'!E$26:M$126,MATCH('Step 6 Quality Check'!C314,'Step 4 Stage Discharge'!E$26:E$126,1)+1,1)-INDEX('Step 4 Stage Discharge'!E$26:M$126,MATCH('Step 6 Quality Check'!C314,'Step 4 Stage Discharge'!E$26:E$126,1),1))</f>
        <v>4.3639431710317386E-3</v>
      </c>
      <c r="F314" s="218">
        <f t="shared" si="20"/>
        <v>0</v>
      </c>
      <c r="G314" s="218">
        <f t="shared" si="21"/>
        <v>0</v>
      </c>
    </row>
    <row r="315" spans="1:7">
      <c r="A315" s="217">
        <f t="shared" si="22"/>
        <v>1495</v>
      </c>
      <c r="B315" s="216">
        <f t="shared" si="23"/>
        <v>99.1</v>
      </c>
      <c r="C315" s="218">
        <f t="shared" si="24"/>
        <v>0</v>
      </c>
      <c r="D315" s="219">
        <f>INDEX('Step 4 Stage Discharge'!E$26:F$126,MATCH(C315,'Step 4 Stage Discharge'!E$26:E$126,1),2)+(INDEX('Step 4 Stage Discharge'!E$26:F$126,MATCH(C315,'Step 4 Stage Discharge'!E$26:E$126,1)+1,2)-INDEX('Step 4 Stage Discharge'!E$26:F$126,MATCH(C315,'Step 4 Stage Discharge'!E$26:E$126,1),2))*(C315-INDEX('Step 4 Stage Discharge'!E$26:F$126,MATCH(C315,'Step 4 Stage Discharge'!E$26:E$126,1),1))/(INDEX('Step 4 Stage Discharge'!E$26:F$126,MATCH(C315,'Step 4 Stage Discharge'!E$26:E$126,1)+1,1)-INDEX('Step 4 Stage Discharge'!E$26:F$126,MATCH(C315,'Step 4 Stage Discharge'!E$26:E$126,1),1))</f>
        <v>0</v>
      </c>
      <c r="E315" s="219">
        <f>INDEX('Step 4 Stage Discharge'!E$26:M$126,MATCH(C315,'Step 4 Stage Discharge'!E$26:E$126,1),9)+(INDEX('Step 4 Stage Discharge'!E$26:M$126,MATCH('Step 6 Quality Check'!C315,'Step 4 Stage Discharge'!E$26:E$126,1)+1,9)-INDEX('Step 4 Stage Discharge'!E$26:M$126,MATCH('Step 6 Quality Check'!C315,'Step 4 Stage Discharge'!E$26:E$126,1),9))*('Step 6 Quality Check'!C315-INDEX('Step 4 Stage Discharge'!E$26:M$126,MATCH('Step 6 Quality Check'!C315,'Step 4 Stage Discharge'!E$26:E$126,1),1))/(INDEX('Step 4 Stage Discharge'!E$26:M$126,MATCH('Step 6 Quality Check'!C315,'Step 4 Stage Discharge'!E$26:E$126,1)+1,1)-INDEX('Step 4 Stage Discharge'!E$26:M$126,MATCH('Step 6 Quality Check'!C315,'Step 4 Stage Discharge'!E$26:E$126,1),1))</f>
        <v>4.3639431710317386E-3</v>
      </c>
      <c r="F315" s="218">
        <f t="shared" si="20"/>
        <v>0</v>
      </c>
      <c r="G315" s="218">
        <f t="shared" si="21"/>
        <v>0</v>
      </c>
    </row>
    <row r="316" spans="1:7">
      <c r="A316" s="217">
        <f t="shared" si="22"/>
        <v>1500</v>
      </c>
      <c r="B316" s="216">
        <f t="shared" si="23"/>
        <v>99.1</v>
      </c>
      <c r="C316" s="218">
        <f t="shared" si="24"/>
        <v>0</v>
      </c>
      <c r="D316" s="219">
        <f>INDEX('Step 4 Stage Discharge'!E$26:F$126,MATCH(C316,'Step 4 Stage Discharge'!E$26:E$126,1),2)+(INDEX('Step 4 Stage Discharge'!E$26:F$126,MATCH(C316,'Step 4 Stage Discharge'!E$26:E$126,1)+1,2)-INDEX('Step 4 Stage Discharge'!E$26:F$126,MATCH(C316,'Step 4 Stage Discharge'!E$26:E$126,1),2))*(C316-INDEX('Step 4 Stage Discharge'!E$26:F$126,MATCH(C316,'Step 4 Stage Discharge'!E$26:E$126,1),1))/(INDEX('Step 4 Stage Discharge'!E$26:F$126,MATCH(C316,'Step 4 Stage Discharge'!E$26:E$126,1)+1,1)-INDEX('Step 4 Stage Discharge'!E$26:F$126,MATCH(C316,'Step 4 Stage Discharge'!E$26:E$126,1),1))</f>
        <v>0</v>
      </c>
      <c r="E316" s="219">
        <f>INDEX('Step 4 Stage Discharge'!E$26:M$126,MATCH(C316,'Step 4 Stage Discharge'!E$26:E$126,1),9)+(INDEX('Step 4 Stage Discharge'!E$26:M$126,MATCH('Step 6 Quality Check'!C316,'Step 4 Stage Discharge'!E$26:E$126,1)+1,9)-INDEX('Step 4 Stage Discharge'!E$26:M$126,MATCH('Step 6 Quality Check'!C316,'Step 4 Stage Discharge'!E$26:E$126,1),9))*('Step 6 Quality Check'!C316-INDEX('Step 4 Stage Discharge'!E$26:M$126,MATCH('Step 6 Quality Check'!C316,'Step 4 Stage Discharge'!E$26:E$126,1),1))/(INDEX('Step 4 Stage Discharge'!E$26:M$126,MATCH('Step 6 Quality Check'!C316,'Step 4 Stage Discharge'!E$26:E$126,1)+1,1)-INDEX('Step 4 Stage Discharge'!E$26:M$126,MATCH('Step 6 Quality Check'!C316,'Step 4 Stage Discharge'!E$26:E$126,1),1))</f>
        <v>4.3639431710317386E-3</v>
      </c>
      <c r="F316" s="218">
        <f t="shared" si="20"/>
        <v>0</v>
      </c>
      <c r="G316" s="218">
        <f t="shared" si="21"/>
        <v>0</v>
      </c>
    </row>
    <row r="317" spans="1:7">
      <c r="A317" s="217">
        <f t="shared" si="22"/>
        <v>1505</v>
      </c>
      <c r="B317" s="216">
        <f t="shared" si="23"/>
        <v>99.1</v>
      </c>
      <c r="C317" s="218">
        <f t="shared" si="24"/>
        <v>0</v>
      </c>
      <c r="D317" s="219">
        <f>INDEX('Step 4 Stage Discharge'!E$26:F$126,MATCH(C317,'Step 4 Stage Discharge'!E$26:E$126,1),2)+(INDEX('Step 4 Stage Discharge'!E$26:F$126,MATCH(C317,'Step 4 Stage Discharge'!E$26:E$126,1)+1,2)-INDEX('Step 4 Stage Discharge'!E$26:F$126,MATCH(C317,'Step 4 Stage Discharge'!E$26:E$126,1),2))*(C317-INDEX('Step 4 Stage Discharge'!E$26:F$126,MATCH(C317,'Step 4 Stage Discharge'!E$26:E$126,1),1))/(INDEX('Step 4 Stage Discharge'!E$26:F$126,MATCH(C317,'Step 4 Stage Discharge'!E$26:E$126,1)+1,1)-INDEX('Step 4 Stage Discharge'!E$26:F$126,MATCH(C317,'Step 4 Stage Discharge'!E$26:E$126,1),1))</f>
        <v>0</v>
      </c>
      <c r="E317" s="219">
        <f>INDEX('Step 4 Stage Discharge'!E$26:M$126,MATCH(C317,'Step 4 Stage Discharge'!E$26:E$126,1),9)+(INDEX('Step 4 Stage Discharge'!E$26:M$126,MATCH('Step 6 Quality Check'!C317,'Step 4 Stage Discharge'!E$26:E$126,1)+1,9)-INDEX('Step 4 Stage Discharge'!E$26:M$126,MATCH('Step 6 Quality Check'!C317,'Step 4 Stage Discharge'!E$26:E$126,1),9))*('Step 6 Quality Check'!C317-INDEX('Step 4 Stage Discharge'!E$26:M$126,MATCH('Step 6 Quality Check'!C317,'Step 4 Stage Discharge'!E$26:E$126,1),1))/(INDEX('Step 4 Stage Discharge'!E$26:M$126,MATCH('Step 6 Quality Check'!C317,'Step 4 Stage Discharge'!E$26:E$126,1)+1,1)-INDEX('Step 4 Stage Discharge'!E$26:M$126,MATCH('Step 6 Quality Check'!C317,'Step 4 Stage Discharge'!E$26:E$126,1),1))</f>
        <v>4.3639431710317386E-3</v>
      </c>
      <c r="F317" s="218">
        <f t="shared" si="20"/>
        <v>0</v>
      </c>
      <c r="G317" s="218">
        <f t="shared" si="21"/>
        <v>0</v>
      </c>
    </row>
    <row r="318" spans="1:7">
      <c r="A318" s="217">
        <f t="shared" si="22"/>
        <v>1510</v>
      </c>
      <c r="B318" s="216">
        <f t="shared" si="23"/>
        <v>99.1</v>
      </c>
      <c r="C318" s="218">
        <f t="shared" si="24"/>
        <v>0</v>
      </c>
      <c r="D318" s="219">
        <f>INDEX('Step 4 Stage Discharge'!E$26:F$126,MATCH(C318,'Step 4 Stage Discharge'!E$26:E$126,1),2)+(INDEX('Step 4 Stage Discharge'!E$26:F$126,MATCH(C318,'Step 4 Stage Discharge'!E$26:E$126,1)+1,2)-INDEX('Step 4 Stage Discharge'!E$26:F$126,MATCH(C318,'Step 4 Stage Discharge'!E$26:E$126,1),2))*(C318-INDEX('Step 4 Stage Discharge'!E$26:F$126,MATCH(C318,'Step 4 Stage Discharge'!E$26:E$126,1),1))/(INDEX('Step 4 Stage Discharge'!E$26:F$126,MATCH(C318,'Step 4 Stage Discharge'!E$26:E$126,1)+1,1)-INDEX('Step 4 Stage Discharge'!E$26:F$126,MATCH(C318,'Step 4 Stage Discharge'!E$26:E$126,1),1))</f>
        <v>0</v>
      </c>
      <c r="E318" s="219">
        <f>INDEX('Step 4 Stage Discharge'!E$26:M$126,MATCH(C318,'Step 4 Stage Discharge'!E$26:E$126,1),9)+(INDEX('Step 4 Stage Discharge'!E$26:M$126,MATCH('Step 6 Quality Check'!C318,'Step 4 Stage Discharge'!E$26:E$126,1)+1,9)-INDEX('Step 4 Stage Discharge'!E$26:M$126,MATCH('Step 6 Quality Check'!C318,'Step 4 Stage Discharge'!E$26:E$126,1),9))*('Step 6 Quality Check'!C318-INDEX('Step 4 Stage Discharge'!E$26:M$126,MATCH('Step 6 Quality Check'!C318,'Step 4 Stage Discharge'!E$26:E$126,1),1))/(INDEX('Step 4 Stage Discharge'!E$26:M$126,MATCH('Step 6 Quality Check'!C318,'Step 4 Stage Discharge'!E$26:E$126,1)+1,1)-INDEX('Step 4 Stage Discharge'!E$26:M$126,MATCH('Step 6 Quality Check'!C318,'Step 4 Stage Discharge'!E$26:E$126,1),1))</f>
        <v>4.3639431710317386E-3</v>
      </c>
      <c r="F318" s="218">
        <f t="shared" si="20"/>
        <v>0</v>
      </c>
      <c r="G318" s="218">
        <f t="shared" si="21"/>
        <v>0</v>
      </c>
    </row>
    <row r="319" spans="1:7">
      <c r="A319" s="217">
        <f t="shared" si="22"/>
        <v>1515</v>
      </c>
      <c r="B319" s="216">
        <f t="shared" si="23"/>
        <v>99.1</v>
      </c>
      <c r="C319" s="218">
        <f t="shared" si="24"/>
        <v>0</v>
      </c>
      <c r="D319" s="219">
        <f>INDEX('Step 4 Stage Discharge'!E$26:F$126,MATCH(C319,'Step 4 Stage Discharge'!E$26:E$126,1),2)+(INDEX('Step 4 Stage Discharge'!E$26:F$126,MATCH(C319,'Step 4 Stage Discharge'!E$26:E$126,1)+1,2)-INDEX('Step 4 Stage Discharge'!E$26:F$126,MATCH(C319,'Step 4 Stage Discharge'!E$26:E$126,1),2))*(C319-INDEX('Step 4 Stage Discharge'!E$26:F$126,MATCH(C319,'Step 4 Stage Discharge'!E$26:E$126,1),1))/(INDEX('Step 4 Stage Discharge'!E$26:F$126,MATCH(C319,'Step 4 Stage Discharge'!E$26:E$126,1)+1,1)-INDEX('Step 4 Stage Discharge'!E$26:F$126,MATCH(C319,'Step 4 Stage Discharge'!E$26:E$126,1),1))</f>
        <v>0</v>
      </c>
      <c r="E319" s="219">
        <f>INDEX('Step 4 Stage Discharge'!E$26:M$126,MATCH(C319,'Step 4 Stage Discharge'!E$26:E$126,1),9)+(INDEX('Step 4 Stage Discharge'!E$26:M$126,MATCH('Step 6 Quality Check'!C319,'Step 4 Stage Discharge'!E$26:E$126,1)+1,9)-INDEX('Step 4 Stage Discharge'!E$26:M$126,MATCH('Step 6 Quality Check'!C319,'Step 4 Stage Discharge'!E$26:E$126,1),9))*('Step 6 Quality Check'!C319-INDEX('Step 4 Stage Discharge'!E$26:M$126,MATCH('Step 6 Quality Check'!C319,'Step 4 Stage Discharge'!E$26:E$126,1),1))/(INDEX('Step 4 Stage Discharge'!E$26:M$126,MATCH('Step 6 Quality Check'!C319,'Step 4 Stage Discharge'!E$26:E$126,1)+1,1)-INDEX('Step 4 Stage Discharge'!E$26:M$126,MATCH('Step 6 Quality Check'!C319,'Step 4 Stage Discharge'!E$26:E$126,1),1))</f>
        <v>4.3639431710317386E-3</v>
      </c>
      <c r="F319" s="218">
        <f t="shared" si="20"/>
        <v>0</v>
      </c>
      <c r="G319" s="218">
        <f t="shared" si="21"/>
        <v>0</v>
      </c>
    </row>
    <row r="320" spans="1:7">
      <c r="A320" s="217">
        <f t="shared" si="22"/>
        <v>1520</v>
      </c>
      <c r="B320" s="216">
        <f t="shared" si="23"/>
        <v>99.1</v>
      </c>
      <c r="C320" s="218">
        <f t="shared" si="24"/>
        <v>0</v>
      </c>
      <c r="D320" s="219">
        <f>INDEX('Step 4 Stage Discharge'!E$26:F$126,MATCH(C320,'Step 4 Stage Discharge'!E$26:E$126,1),2)+(INDEX('Step 4 Stage Discharge'!E$26:F$126,MATCH(C320,'Step 4 Stage Discharge'!E$26:E$126,1)+1,2)-INDEX('Step 4 Stage Discharge'!E$26:F$126,MATCH(C320,'Step 4 Stage Discharge'!E$26:E$126,1),2))*(C320-INDEX('Step 4 Stage Discharge'!E$26:F$126,MATCH(C320,'Step 4 Stage Discharge'!E$26:E$126,1),1))/(INDEX('Step 4 Stage Discharge'!E$26:F$126,MATCH(C320,'Step 4 Stage Discharge'!E$26:E$126,1)+1,1)-INDEX('Step 4 Stage Discharge'!E$26:F$126,MATCH(C320,'Step 4 Stage Discharge'!E$26:E$126,1),1))</f>
        <v>0</v>
      </c>
      <c r="E320" s="219">
        <f>INDEX('Step 4 Stage Discharge'!E$26:M$126,MATCH(C320,'Step 4 Stage Discharge'!E$26:E$126,1),9)+(INDEX('Step 4 Stage Discharge'!E$26:M$126,MATCH('Step 6 Quality Check'!C320,'Step 4 Stage Discharge'!E$26:E$126,1)+1,9)-INDEX('Step 4 Stage Discharge'!E$26:M$126,MATCH('Step 6 Quality Check'!C320,'Step 4 Stage Discharge'!E$26:E$126,1),9))*('Step 6 Quality Check'!C320-INDEX('Step 4 Stage Discharge'!E$26:M$126,MATCH('Step 6 Quality Check'!C320,'Step 4 Stage Discharge'!E$26:E$126,1),1))/(INDEX('Step 4 Stage Discharge'!E$26:M$126,MATCH('Step 6 Quality Check'!C320,'Step 4 Stage Discharge'!E$26:E$126,1)+1,1)-INDEX('Step 4 Stage Discharge'!E$26:M$126,MATCH('Step 6 Quality Check'!C320,'Step 4 Stage Discharge'!E$26:E$126,1),1))</f>
        <v>4.3639431710317386E-3</v>
      </c>
      <c r="F320" s="218">
        <f t="shared" si="20"/>
        <v>0</v>
      </c>
      <c r="G320" s="218">
        <f t="shared" si="21"/>
        <v>0</v>
      </c>
    </row>
    <row r="321" spans="1:7">
      <c r="A321" s="217">
        <f t="shared" si="22"/>
        <v>1525</v>
      </c>
      <c r="B321" s="216">
        <f t="shared" si="23"/>
        <v>99.1</v>
      </c>
      <c r="C321" s="218">
        <f t="shared" si="24"/>
        <v>0</v>
      </c>
      <c r="D321" s="219">
        <f>INDEX('Step 4 Stage Discharge'!E$26:F$126,MATCH(C321,'Step 4 Stage Discharge'!E$26:E$126,1),2)+(INDEX('Step 4 Stage Discharge'!E$26:F$126,MATCH(C321,'Step 4 Stage Discharge'!E$26:E$126,1)+1,2)-INDEX('Step 4 Stage Discharge'!E$26:F$126,MATCH(C321,'Step 4 Stage Discharge'!E$26:E$126,1),2))*(C321-INDEX('Step 4 Stage Discharge'!E$26:F$126,MATCH(C321,'Step 4 Stage Discharge'!E$26:E$126,1),1))/(INDEX('Step 4 Stage Discharge'!E$26:F$126,MATCH(C321,'Step 4 Stage Discharge'!E$26:E$126,1)+1,1)-INDEX('Step 4 Stage Discharge'!E$26:F$126,MATCH(C321,'Step 4 Stage Discharge'!E$26:E$126,1),1))</f>
        <v>0</v>
      </c>
      <c r="E321" s="219">
        <f>INDEX('Step 4 Stage Discharge'!E$26:M$126,MATCH(C321,'Step 4 Stage Discharge'!E$26:E$126,1),9)+(INDEX('Step 4 Stage Discharge'!E$26:M$126,MATCH('Step 6 Quality Check'!C321,'Step 4 Stage Discharge'!E$26:E$126,1)+1,9)-INDEX('Step 4 Stage Discharge'!E$26:M$126,MATCH('Step 6 Quality Check'!C321,'Step 4 Stage Discharge'!E$26:E$126,1),9))*('Step 6 Quality Check'!C321-INDEX('Step 4 Stage Discharge'!E$26:M$126,MATCH('Step 6 Quality Check'!C321,'Step 4 Stage Discharge'!E$26:E$126,1),1))/(INDEX('Step 4 Stage Discharge'!E$26:M$126,MATCH('Step 6 Quality Check'!C321,'Step 4 Stage Discharge'!E$26:E$126,1)+1,1)-INDEX('Step 4 Stage Discharge'!E$26:M$126,MATCH('Step 6 Quality Check'!C321,'Step 4 Stage Discharge'!E$26:E$126,1),1))</f>
        <v>4.3639431710317386E-3</v>
      </c>
      <c r="F321" s="218">
        <f t="shared" si="20"/>
        <v>0</v>
      </c>
      <c r="G321" s="218">
        <f t="shared" si="21"/>
        <v>0</v>
      </c>
    </row>
    <row r="322" spans="1:7">
      <c r="A322" s="217">
        <f t="shared" si="22"/>
        <v>1530</v>
      </c>
      <c r="B322" s="216">
        <f t="shared" si="23"/>
        <v>99.1</v>
      </c>
      <c r="C322" s="218">
        <f t="shared" si="24"/>
        <v>0</v>
      </c>
      <c r="D322" s="219">
        <f>INDEX('Step 4 Stage Discharge'!E$26:F$126,MATCH(C322,'Step 4 Stage Discharge'!E$26:E$126,1),2)+(INDEX('Step 4 Stage Discharge'!E$26:F$126,MATCH(C322,'Step 4 Stage Discharge'!E$26:E$126,1)+1,2)-INDEX('Step 4 Stage Discharge'!E$26:F$126,MATCH(C322,'Step 4 Stage Discharge'!E$26:E$126,1),2))*(C322-INDEX('Step 4 Stage Discharge'!E$26:F$126,MATCH(C322,'Step 4 Stage Discharge'!E$26:E$126,1),1))/(INDEX('Step 4 Stage Discharge'!E$26:F$126,MATCH(C322,'Step 4 Stage Discharge'!E$26:E$126,1)+1,1)-INDEX('Step 4 Stage Discharge'!E$26:F$126,MATCH(C322,'Step 4 Stage Discharge'!E$26:E$126,1),1))</f>
        <v>0</v>
      </c>
      <c r="E322" s="219">
        <f>INDEX('Step 4 Stage Discharge'!E$26:M$126,MATCH(C322,'Step 4 Stage Discharge'!E$26:E$126,1),9)+(INDEX('Step 4 Stage Discharge'!E$26:M$126,MATCH('Step 6 Quality Check'!C322,'Step 4 Stage Discharge'!E$26:E$126,1)+1,9)-INDEX('Step 4 Stage Discharge'!E$26:M$126,MATCH('Step 6 Quality Check'!C322,'Step 4 Stage Discharge'!E$26:E$126,1),9))*('Step 6 Quality Check'!C322-INDEX('Step 4 Stage Discharge'!E$26:M$126,MATCH('Step 6 Quality Check'!C322,'Step 4 Stage Discharge'!E$26:E$126,1),1))/(INDEX('Step 4 Stage Discharge'!E$26:M$126,MATCH('Step 6 Quality Check'!C322,'Step 4 Stage Discharge'!E$26:E$126,1)+1,1)-INDEX('Step 4 Stage Discharge'!E$26:M$126,MATCH('Step 6 Quality Check'!C322,'Step 4 Stage Discharge'!E$26:E$126,1),1))</f>
        <v>4.3639431710317386E-3</v>
      </c>
      <c r="F322" s="218">
        <f t="shared" si="20"/>
        <v>0</v>
      </c>
      <c r="G322" s="218">
        <f t="shared" si="21"/>
        <v>0</v>
      </c>
    </row>
    <row r="323" spans="1:7">
      <c r="A323" s="217">
        <f t="shared" si="22"/>
        <v>1535</v>
      </c>
      <c r="B323" s="216">
        <f t="shared" si="23"/>
        <v>99.1</v>
      </c>
      <c r="C323" s="218">
        <f t="shared" si="24"/>
        <v>0</v>
      </c>
      <c r="D323" s="219">
        <f>INDEX('Step 4 Stage Discharge'!E$26:F$126,MATCH(C323,'Step 4 Stage Discharge'!E$26:E$126,1),2)+(INDEX('Step 4 Stage Discharge'!E$26:F$126,MATCH(C323,'Step 4 Stage Discharge'!E$26:E$126,1)+1,2)-INDEX('Step 4 Stage Discharge'!E$26:F$126,MATCH(C323,'Step 4 Stage Discharge'!E$26:E$126,1),2))*(C323-INDEX('Step 4 Stage Discharge'!E$26:F$126,MATCH(C323,'Step 4 Stage Discharge'!E$26:E$126,1),1))/(INDEX('Step 4 Stage Discharge'!E$26:F$126,MATCH(C323,'Step 4 Stage Discharge'!E$26:E$126,1)+1,1)-INDEX('Step 4 Stage Discharge'!E$26:F$126,MATCH(C323,'Step 4 Stage Discharge'!E$26:E$126,1),1))</f>
        <v>0</v>
      </c>
      <c r="E323" s="219">
        <f>INDEX('Step 4 Stage Discharge'!E$26:M$126,MATCH(C323,'Step 4 Stage Discharge'!E$26:E$126,1),9)+(INDEX('Step 4 Stage Discharge'!E$26:M$126,MATCH('Step 6 Quality Check'!C323,'Step 4 Stage Discharge'!E$26:E$126,1)+1,9)-INDEX('Step 4 Stage Discharge'!E$26:M$126,MATCH('Step 6 Quality Check'!C323,'Step 4 Stage Discharge'!E$26:E$126,1),9))*('Step 6 Quality Check'!C323-INDEX('Step 4 Stage Discharge'!E$26:M$126,MATCH('Step 6 Quality Check'!C323,'Step 4 Stage Discharge'!E$26:E$126,1),1))/(INDEX('Step 4 Stage Discharge'!E$26:M$126,MATCH('Step 6 Quality Check'!C323,'Step 4 Stage Discharge'!E$26:E$126,1)+1,1)-INDEX('Step 4 Stage Discharge'!E$26:M$126,MATCH('Step 6 Quality Check'!C323,'Step 4 Stage Discharge'!E$26:E$126,1),1))</f>
        <v>4.3639431710317386E-3</v>
      </c>
      <c r="F323" s="218">
        <f t="shared" si="20"/>
        <v>0</v>
      </c>
      <c r="G323" s="218">
        <f t="shared" si="21"/>
        <v>0</v>
      </c>
    </row>
    <row r="324" spans="1:7">
      <c r="A324" s="217">
        <f t="shared" si="22"/>
        <v>1540</v>
      </c>
      <c r="B324" s="216">
        <f t="shared" si="23"/>
        <v>99.1</v>
      </c>
      <c r="C324" s="218">
        <f t="shared" si="24"/>
        <v>0</v>
      </c>
      <c r="D324" s="219">
        <f>INDEX('Step 4 Stage Discharge'!E$26:F$126,MATCH(C324,'Step 4 Stage Discharge'!E$26:E$126,1),2)+(INDEX('Step 4 Stage Discharge'!E$26:F$126,MATCH(C324,'Step 4 Stage Discharge'!E$26:E$126,1)+1,2)-INDEX('Step 4 Stage Discharge'!E$26:F$126,MATCH(C324,'Step 4 Stage Discharge'!E$26:E$126,1),2))*(C324-INDEX('Step 4 Stage Discharge'!E$26:F$126,MATCH(C324,'Step 4 Stage Discharge'!E$26:E$126,1),1))/(INDEX('Step 4 Stage Discharge'!E$26:F$126,MATCH(C324,'Step 4 Stage Discharge'!E$26:E$126,1)+1,1)-INDEX('Step 4 Stage Discharge'!E$26:F$126,MATCH(C324,'Step 4 Stage Discharge'!E$26:E$126,1),1))</f>
        <v>0</v>
      </c>
      <c r="E324" s="219">
        <f>INDEX('Step 4 Stage Discharge'!E$26:M$126,MATCH(C324,'Step 4 Stage Discharge'!E$26:E$126,1),9)+(INDEX('Step 4 Stage Discharge'!E$26:M$126,MATCH('Step 6 Quality Check'!C324,'Step 4 Stage Discharge'!E$26:E$126,1)+1,9)-INDEX('Step 4 Stage Discharge'!E$26:M$126,MATCH('Step 6 Quality Check'!C324,'Step 4 Stage Discharge'!E$26:E$126,1),9))*('Step 6 Quality Check'!C324-INDEX('Step 4 Stage Discharge'!E$26:M$126,MATCH('Step 6 Quality Check'!C324,'Step 4 Stage Discharge'!E$26:E$126,1),1))/(INDEX('Step 4 Stage Discharge'!E$26:M$126,MATCH('Step 6 Quality Check'!C324,'Step 4 Stage Discharge'!E$26:E$126,1)+1,1)-INDEX('Step 4 Stage Discharge'!E$26:M$126,MATCH('Step 6 Quality Check'!C324,'Step 4 Stage Discharge'!E$26:E$126,1),1))</f>
        <v>4.3639431710317386E-3</v>
      </c>
      <c r="F324" s="218">
        <f t="shared" si="20"/>
        <v>0</v>
      </c>
      <c r="G324" s="218">
        <f t="shared" si="21"/>
        <v>0</v>
      </c>
    </row>
    <row r="325" spans="1:7">
      <c r="A325" s="217">
        <f t="shared" si="22"/>
        <v>1545</v>
      </c>
      <c r="B325" s="216">
        <f t="shared" si="23"/>
        <v>99.1</v>
      </c>
      <c r="C325" s="218">
        <f t="shared" si="24"/>
        <v>0</v>
      </c>
      <c r="D325" s="219">
        <f>INDEX('Step 4 Stage Discharge'!E$26:F$126,MATCH(C325,'Step 4 Stage Discharge'!E$26:E$126,1),2)+(INDEX('Step 4 Stage Discharge'!E$26:F$126,MATCH(C325,'Step 4 Stage Discharge'!E$26:E$126,1)+1,2)-INDEX('Step 4 Stage Discharge'!E$26:F$126,MATCH(C325,'Step 4 Stage Discharge'!E$26:E$126,1),2))*(C325-INDEX('Step 4 Stage Discharge'!E$26:F$126,MATCH(C325,'Step 4 Stage Discharge'!E$26:E$126,1),1))/(INDEX('Step 4 Stage Discharge'!E$26:F$126,MATCH(C325,'Step 4 Stage Discharge'!E$26:E$126,1)+1,1)-INDEX('Step 4 Stage Discharge'!E$26:F$126,MATCH(C325,'Step 4 Stage Discharge'!E$26:E$126,1),1))</f>
        <v>0</v>
      </c>
      <c r="E325" s="219">
        <f>INDEX('Step 4 Stage Discharge'!E$26:M$126,MATCH(C325,'Step 4 Stage Discharge'!E$26:E$126,1),9)+(INDEX('Step 4 Stage Discharge'!E$26:M$126,MATCH('Step 6 Quality Check'!C325,'Step 4 Stage Discharge'!E$26:E$126,1)+1,9)-INDEX('Step 4 Stage Discharge'!E$26:M$126,MATCH('Step 6 Quality Check'!C325,'Step 4 Stage Discharge'!E$26:E$126,1),9))*('Step 6 Quality Check'!C325-INDEX('Step 4 Stage Discharge'!E$26:M$126,MATCH('Step 6 Quality Check'!C325,'Step 4 Stage Discharge'!E$26:E$126,1),1))/(INDEX('Step 4 Stage Discharge'!E$26:M$126,MATCH('Step 6 Quality Check'!C325,'Step 4 Stage Discharge'!E$26:E$126,1)+1,1)-INDEX('Step 4 Stage Discharge'!E$26:M$126,MATCH('Step 6 Quality Check'!C325,'Step 4 Stage Discharge'!E$26:E$126,1),1))</f>
        <v>4.3639431710317386E-3</v>
      </c>
      <c r="F325" s="218">
        <f t="shared" si="20"/>
        <v>0</v>
      </c>
      <c r="G325" s="218">
        <f t="shared" si="21"/>
        <v>0</v>
      </c>
    </row>
    <row r="326" spans="1:7">
      <c r="A326" s="217">
        <f t="shared" si="22"/>
        <v>1550</v>
      </c>
      <c r="B326" s="216">
        <f t="shared" si="23"/>
        <v>99.1</v>
      </c>
      <c r="C326" s="218">
        <f t="shared" si="24"/>
        <v>0</v>
      </c>
      <c r="D326" s="219">
        <f>INDEX('Step 4 Stage Discharge'!E$26:F$126,MATCH(C326,'Step 4 Stage Discharge'!E$26:E$126,1),2)+(INDEX('Step 4 Stage Discharge'!E$26:F$126,MATCH(C326,'Step 4 Stage Discharge'!E$26:E$126,1)+1,2)-INDEX('Step 4 Stage Discharge'!E$26:F$126,MATCH(C326,'Step 4 Stage Discharge'!E$26:E$126,1),2))*(C326-INDEX('Step 4 Stage Discharge'!E$26:F$126,MATCH(C326,'Step 4 Stage Discharge'!E$26:E$126,1),1))/(INDEX('Step 4 Stage Discharge'!E$26:F$126,MATCH(C326,'Step 4 Stage Discharge'!E$26:E$126,1)+1,1)-INDEX('Step 4 Stage Discharge'!E$26:F$126,MATCH(C326,'Step 4 Stage Discharge'!E$26:E$126,1),1))</f>
        <v>0</v>
      </c>
      <c r="E326" s="219">
        <f>INDEX('Step 4 Stage Discharge'!E$26:M$126,MATCH(C326,'Step 4 Stage Discharge'!E$26:E$126,1),9)+(INDEX('Step 4 Stage Discharge'!E$26:M$126,MATCH('Step 6 Quality Check'!C326,'Step 4 Stage Discharge'!E$26:E$126,1)+1,9)-INDEX('Step 4 Stage Discharge'!E$26:M$126,MATCH('Step 6 Quality Check'!C326,'Step 4 Stage Discharge'!E$26:E$126,1),9))*('Step 6 Quality Check'!C326-INDEX('Step 4 Stage Discharge'!E$26:M$126,MATCH('Step 6 Quality Check'!C326,'Step 4 Stage Discharge'!E$26:E$126,1),1))/(INDEX('Step 4 Stage Discharge'!E$26:M$126,MATCH('Step 6 Quality Check'!C326,'Step 4 Stage Discharge'!E$26:E$126,1)+1,1)-INDEX('Step 4 Stage Discharge'!E$26:M$126,MATCH('Step 6 Quality Check'!C326,'Step 4 Stage Discharge'!E$26:E$126,1),1))</f>
        <v>4.3639431710317386E-3</v>
      </c>
      <c r="F326" s="218">
        <f t="shared" si="20"/>
        <v>0</v>
      </c>
      <c r="G326" s="218">
        <f t="shared" si="21"/>
        <v>0</v>
      </c>
    </row>
    <row r="327" spans="1:7">
      <c r="A327" s="217">
        <f t="shared" si="22"/>
        <v>1555</v>
      </c>
      <c r="B327" s="216">
        <f t="shared" si="23"/>
        <v>99.1</v>
      </c>
      <c r="C327" s="218">
        <f t="shared" si="24"/>
        <v>0</v>
      </c>
      <c r="D327" s="219">
        <f>INDEX('Step 4 Stage Discharge'!E$26:F$126,MATCH(C327,'Step 4 Stage Discharge'!E$26:E$126,1),2)+(INDEX('Step 4 Stage Discharge'!E$26:F$126,MATCH(C327,'Step 4 Stage Discharge'!E$26:E$126,1)+1,2)-INDEX('Step 4 Stage Discharge'!E$26:F$126,MATCH(C327,'Step 4 Stage Discharge'!E$26:E$126,1),2))*(C327-INDEX('Step 4 Stage Discharge'!E$26:F$126,MATCH(C327,'Step 4 Stage Discharge'!E$26:E$126,1),1))/(INDEX('Step 4 Stage Discharge'!E$26:F$126,MATCH(C327,'Step 4 Stage Discharge'!E$26:E$126,1)+1,1)-INDEX('Step 4 Stage Discharge'!E$26:F$126,MATCH(C327,'Step 4 Stage Discharge'!E$26:E$126,1),1))</f>
        <v>0</v>
      </c>
      <c r="E327" s="219">
        <f>INDEX('Step 4 Stage Discharge'!E$26:M$126,MATCH(C327,'Step 4 Stage Discharge'!E$26:E$126,1),9)+(INDEX('Step 4 Stage Discharge'!E$26:M$126,MATCH('Step 6 Quality Check'!C327,'Step 4 Stage Discharge'!E$26:E$126,1)+1,9)-INDEX('Step 4 Stage Discharge'!E$26:M$126,MATCH('Step 6 Quality Check'!C327,'Step 4 Stage Discharge'!E$26:E$126,1),9))*('Step 6 Quality Check'!C327-INDEX('Step 4 Stage Discharge'!E$26:M$126,MATCH('Step 6 Quality Check'!C327,'Step 4 Stage Discharge'!E$26:E$126,1),1))/(INDEX('Step 4 Stage Discharge'!E$26:M$126,MATCH('Step 6 Quality Check'!C327,'Step 4 Stage Discharge'!E$26:E$126,1)+1,1)-INDEX('Step 4 Stage Discharge'!E$26:M$126,MATCH('Step 6 Quality Check'!C327,'Step 4 Stage Discharge'!E$26:E$126,1),1))</f>
        <v>4.3639431710317386E-3</v>
      </c>
      <c r="F327" s="218">
        <f t="shared" si="20"/>
        <v>0</v>
      </c>
      <c r="G327" s="218">
        <f t="shared" si="21"/>
        <v>0</v>
      </c>
    </row>
    <row r="328" spans="1:7">
      <c r="A328" s="217">
        <f t="shared" si="22"/>
        <v>1560</v>
      </c>
      <c r="B328" s="216">
        <f t="shared" si="23"/>
        <v>99.1</v>
      </c>
      <c r="C328" s="218">
        <f t="shared" si="24"/>
        <v>0</v>
      </c>
      <c r="D328" s="219">
        <f>INDEX('Step 4 Stage Discharge'!E$26:F$126,MATCH(C328,'Step 4 Stage Discharge'!E$26:E$126,1),2)+(INDEX('Step 4 Stage Discharge'!E$26:F$126,MATCH(C328,'Step 4 Stage Discharge'!E$26:E$126,1)+1,2)-INDEX('Step 4 Stage Discharge'!E$26:F$126,MATCH(C328,'Step 4 Stage Discharge'!E$26:E$126,1),2))*(C328-INDEX('Step 4 Stage Discharge'!E$26:F$126,MATCH(C328,'Step 4 Stage Discharge'!E$26:E$126,1),1))/(INDEX('Step 4 Stage Discharge'!E$26:F$126,MATCH(C328,'Step 4 Stage Discharge'!E$26:E$126,1)+1,1)-INDEX('Step 4 Stage Discharge'!E$26:F$126,MATCH(C328,'Step 4 Stage Discharge'!E$26:E$126,1),1))</f>
        <v>0</v>
      </c>
      <c r="E328" s="219">
        <f>INDEX('Step 4 Stage Discharge'!E$26:M$126,MATCH(C328,'Step 4 Stage Discharge'!E$26:E$126,1),9)+(INDEX('Step 4 Stage Discharge'!E$26:M$126,MATCH('Step 6 Quality Check'!C328,'Step 4 Stage Discharge'!E$26:E$126,1)+1,9)-INDEX('Step 4 Stage Discharge'!E$26:M$126,MATCH('Step 6 Quality Check'!C328,'Step 4 Stage Discharge'!E$26:E$126,1),9))*('Step 6 Quality Check'!C328-INDEX('Step 4 Stage Discharge'!E$26:M$126,MATCH('Step 6 Quality Check'!C328,'Step 4 Stage Discharge'!E$26:E$126,1),1))/(INDEX('Step 4 Stage Discharge'!E$26:M$126,MATCH('Step 6 Quality Check'!C328,'Step 4 Stage Discharge'!E$26:E$126,1)+1,1)-INDEX('Step 4 Stage Discharge'!E$26:M$126,MATCH('Step 6 Quality Check'!C328,'Step 4 Stage Discharge'!E$26:E$126,1),1))</f>
        <v>4.3639431710317386E-3</v>
      </c>
      <c r="F328" s="218">
        <f t="shared" si="20"/>
        <v>0</v>
      </c>
      <c r="G328" s="218">
        <f t="shared" si="21"/>
        <v>0</v>
      </c>
    </row>
    <row r="329" spans="1:7">
      <c r="A329" s="217">
        <f t="shared" si="22"/>
        <v>1565</v>
      </c>
      <c r="B329" s="216">
        <f t="shared" si="23"/>
        <v>99.1</v>
      </c>
      <c r="C329" s="218">
        <f t="shared" si="24"/>
        <v>0</v>
      </c>
      <c r="D329" s="219">
        <f>INDEX('Step 4 Stage Discharge'!E$26:F$126,MATCH(C329,'Step 4 Stage Discharge'!E$26:E$126,1),2)+(INDEX('Step 4 Stage Discharge'!E$26:F$126,MATCH(C329,'Step 4 Stage Discharge'!E$26:E$126,1)+1,2)-INDEX('Step 4 Stage Discharge'!E$26:F$126,MATCH(C329,'Step 4 Stage Discharge'!E$26:E$126,1),2))*(C329-INDEX('Step 4 Stage Discharge'!E$26:F$126,MATCH(C329,'Step 4 Stage Discharge'!E$26:E$126,1),1))/(INDEX('Step 4 Stage Discharge'!E$26:F$126,MATCH(C329,'Step 4 Stage Discharge'!E$26:E$126,1)+1,1)-INDEX('Step 4 Stage Discharge'!E$26:F$126,MATCH(C329,'Step 4 Stage Discharge'!E$26:E$126,1),1))</f>
        <v>0</v>
      </c>
      <c r="E329" s="219">
        <f>INDEX('Step 4 Stage Discharge'!E$26:M$126,MATCH(C329,'Step 4 Stage Discharge'!E$26:E$126,1),9)+(INDEX('Step 4 Stage Discharge'!E$26:M$126,MATCH('Step 6 Quality Check'!C329,'Step 4 Stage Discharge'!E$26:E$126,1)+1,9)-INDEX('Step 4 Stage Discharge'!E$26:M$126,MATCH('Step 6 Quality Check'!C329,'Step 4 Stage Discharge'!E$26:E$126,1),9))*('Step 6 Quality Check'!C329-INDEX('Step 4 Stage Discharge'!E$26:M$126,MATCH('Step 6 Quality Check'!C329,'Step 4 Stage Discharge'!E$26:E$126,1),1))/(INDEX('Step 4 Stage Discharge'!E$26:M$126,MATCH('Step 6 Quality Check'!C329,'Step 4 Stage Discharge'!E$26:E$126,1)+1,1)-INDEX('Step 4 Stage Discharge'!E$26:M$126,MATCH('Step 6 Quality Check'!C329,'Step 4 Stage Discharge'!E$26:E$126,1),1))</f>
        <v>4.3639431710317386E-3</v>
      </c>
      <c r="F329" s="218">
        <f t="shared" si="20"/>
        <v>0</v>
      </c>
      <c r="G329" s="218">
        <f t="shared" si="21"/>
        <v>0</v>
      </c>
    </row>
    <row r="330" spans="1:7">
      <c r="A330" s="217">
        <f t="shared" si="22"/>
        <v>1570</v>
      </c>
      <c r="B330" s="216">
        <f t="shared" si="23"/>
        <v>99.1</v>
      </c>
      <c r="C330" s="218">
        <f t="shared" si="24"/>
        <v>0</v>
      </c>
      <c r="D330" s="219">
        <f>INDEX('Step 4 Stage Discharge'!E$26:F$126,MATCH(C330,'Step 4 Stage Discharge'!E$26:E$126,1),2)+(INDEX('Step 4 Stage Discharge'!E$26:F$126,MATCH(C330,'Step 4 Stage Discharge'!E$26:E$126,1)+1,2)-INDEX('Step 4 Stage Discharge'!E$26:F$126,MATCH(C330,'Step 4 Stage Discharge'!E$26:E$126,1),2))*(C330-INDEX('Step 4 Stage Discharge'!E$26:F$126,MATCH(C330,'Step 4 Stage Discharge'!E$26:E$126,1),1))/(INDEX('Step 4 Stage Discharge'!E$26:F$126,MATCH(C330,'Step 4 Stage Discharge'!E$26:E$126,1)+1,1)-INDEX('Step 4 Stage Discharge'!E$26:F$126,MATCH(C330,'Step 4 Stage Discharge'!E$26:E$126,1),1))</f>
        <v>0</v>
      </c>
      <c r="E330" s="219">
        <f>INDEX('Step 4 Stage Discharge'!E$26:M$126,MATCH(C330,'Step 4 Stage Discharge'!E$26:E$126,1),9)+(INDEX('Step 4 Stage Discharge'!E$26:M$126,MATCH('Step 6 Quality Check'!C330,'Step 4 Stage Discharge'!E$26:E$126,1)+1,9)-INDEX('Step 4 Stage Discharge'!E$26:M$126,MATCH('Step 6 Quality Check'!C330,'Step 4 Stage Discharge'!E$26:E$126,1),9))*('Step 6 Quality Check'!C330-INDEX('Step 4 Stage Discharge'!E$26:M$126,MATCH('Step 6 Quality Check'!C330,'Step 4 Stage Discharge'!E$26:E$126,1),1))/(INDEX('Step 4 Stage Discharge'!E$26:M$126,MATCH('Step 6 Quality Check'!C330,'Step 4 Stage Discharge'!E$26:E$126,1)+1,1)-INDEX('Step 4 Stage Discharge'!E$26:M$126,MATCH('Step 6 Quality Check'!C330,'Step 4 Stage Discharge'!E$26:E$126,1),1))</f>
        <v>4.3639431710317386E-3</v>
      </c>
      <c r="F330" s="218">
        <f t="shared" si="20"/>
        <v>0</v>
      </c>
      <c r="G330" s="218">
        <f t="shared" si="21"/>
        <v>0</v>
      </c>
    </row>
    <row r="331" spans="1:7">
      <c r="A331" s="217">
        <f t="shared" si="22"/>
        <v>1575</v>
      </c>
      <c r="B331" s="216">
        <f t="shared" si="23"/>
        <v>99.1</v>
      </c>
      <c r="C331" s="218">
        <f t="shared" si="24"/>
        <v>0</v>
      </c>
      <c r="D331" s="219">
        <f>INDEX('Step 4 Stage Discharge'!E$26:F$126,MATCH(C331,'Step 4 Stage Discharge'!E$26:E$126,1),2)+(INDEX('Step 4 Stage Discharge'!E$26:F$126,MATCH(C331,'Step 4 Stage Discharge'!E$26:E$126,1)+1,2)-INDEX('Step 4 Stage Discharge'!E$26:F$126,MATCH(C331,'Step 4 Stage Discharge'!E$26:E$126,1),2))*(C331-INDEX('Step 4 Stage Discharge'!E$26:F$126,MATCH(C331,'Step 4 Stage Discharge'!E$26:E$126,1),1))/(INDEX('Step 4 Stage Discharge'!E$26:F$126,MATCH(C331,'Step 4 Stage Discharge'!E$26:E$126,1)+1,1)-INDEX('Step 4 Stage Discharge'!E$26:F$126,MATCH(C331,'Step 4 Stage Discharge'!E$26:E$126,1),1))</f>
        <v>0</v>
      </c>
      <c r="E331" s="219">
        <f>INDEX('Step 4 Stage Discharge'!E$26:M$126,MATCH(C331,'Step 4 Stage Discharge'!E$26:E$126,1),9)+(INDEX('Step 4 Stage Discharge'!E$26:M$126,MATCH('Step 6 Quality Check'!C331,'Step 4 Stage Discharge'!E$26:E$126,1)+1,9)-INDEX('Step 4 Stage Discharge'!E$26:M$126,MATCH('Step 6 Quality Check'!C331,'Step 4 Stage Discharge'!E$26:E$126,1),9))*('Step 6 Quality Check'!C331-INDEX('Step 4 Stage Discharge'!E$26:M$126,MATCH('Step 6 Quality Check'!C331,'Step 4 Stage Discharge'!E$26:E$126,1),1))/(INDEX('Step 4 Stage Discharge'!E$26:M$126,MATCH('Step 6 Quality Check'!C331,'Step 4 Stage Discharge'!E$26:E$126,1)+1,1)-INDEX('Step 4 Stage Discharge'!E$26:M$126,MATCH('Step 6 Quality Check'!C331,'Step 4 Stage Discharge'!E$26:E$126,1),1))</f>
        <v>4.3639431710317386E-3</v>
      </c>
      <c r="F331" s="218">
        <f t="shared" si="20"/>
        <v>0</v>
      </c>
      <c r="G331" s="218">
        <f t="shared" si="21"/>
        <v>0</v>
      </c>
    </row>
    <row r="332" spans="1:7">
      <c r="A332" s="217">
        <f t="shared" si="22"/>
        <v>1580</v>
      </c>
      <c r="B332" s="216">
        <f t="shared" si="23"/>
        <v>99.1</v>
      </c>
      <c r="C332" s="218">
        <f t="shared" si="24"/>
        <v>0</v>
      </c>
      <c r="D332" s="219">
        <f>INDEX('Step 4 Stage Discharge'!E$26:F$126,MATCH(C332,'Step 4 Stage Discharge'!E$26:E$126,1),2)+(INDEX('Step 4 Stage Discharge'!E$26:F$126,MATCH(C332,'Step 4 Stage Discharge'!E$26:E$126,1)+1,2)-INDEX('Step 4 Stage Discharge'!E$26:F$126,MATCH(C332,'Step 4 Stage Discharge'!E$26:E$126,1),2))*(C332-INDEX('Step 4 Stage Discharge'!E$26:F$126,MATCH(C332,'Step 4 Stage Discharge'!E$26:E$126,1),1))/(INDEX('Step 4 Stage Discharge'!E$26:F$126,MATCH(C332,'Step 4 Stage Discharge'!E$26:E$126,1)+1,1)-INDEX('Step 4 Stage Discharge'!E$26:F$126,MATCH(C332,'Step 4 Stage Discharge'!E$26:E$126,1),1))</f>
        <v>0</v>
      </c>
      <c r="E332" s="219">
        <f>INDEX('Step 4 Stage Discharge'!E$26:M$126,MATCH(C332,'Step 4 Stage Discharge'!E$26:E$126,1),9)+(INDEX('Step 4 Stage Discharge'!E$26:M$126,MATCH('Step 6 Quality Check'!C332,'Step 4 Stage Discharge'!E$26:E$126,1)+1,9)-INDEX('Step 4 Stage Discharge'!E$26:M$126,MATCH('Step 6 Quality Check'!C332,'Step 4 Stage Discharge'!E$26:E$126,1),9))*('Step 6 Quality Check'!C332-INDEX('Step 4 Stage Discharge'!E$26:M$126,MATCH('Step 6 Quality Check'!C332,'Step 4 Stage Discharge'!E$26:E$126,1),1))/(INDEX('Step 4 Stage Discharge'!E$26:M$126,MATCH('Step 6 Quality Check'!C332,'Step 4 Stage Discharge'!E$26:E$126,1)+1,1)-INDEX('Step 4 Stage Discharge'!E$26:M$126,MATCH('Step 6 Quality Check'!C332,'Step 4 Stage Discharge'!E$26:E$126,1),1))</f>
        <v>4.3639431710317386E-3</v>
      </c>
      <c r="F332" s="218">
        <f t="shared" si="20"/>
        <v>0</v>
      </c>
      <c r="G332" s="218">
        <f t="shared" si="21"/>
        <v>0</v>
      </c>
    </row>
    <row r="333" spans="1:7">
      <c r="A333" s="217">
        <f t="shared" si="22"/>
        <v>1585</v>
      </c>
      <c r="B333" s="216">
        <f t="shared" si="23"/>
        <v>99.1</v>
      </c>
      <c r="C333" s="218">
        <f t="shared" si="24"/>
        <v>0</v>
      </c>
      <c r="D333" s="219">
        <f>INDEX('Step 4 Stage Discharge'!E$26:F$126,MATCH(C333,'Step 4 Stage Discharge'!E$26:E$126,1),2)+(INDEX('Step 4 Stage Discharge'!E$26:F$126,MATCH(C333,'Step 4 Stage Discharge'!E$26:E$126,1)+1,2)-INDEX('Step 4 Stage Discharge'!E$26:F$126,MATCH(C333,'Step 4 Stage Discharge'!E$26:E$126,1),2))*(C333-INDEX('Step 4 Stage Discharge'!E$26:F$126,MATCH(C333,'Step 4 Stage Discharge'!E$26:E$126,1),1))/(INDEX('Step 4 Stage Discharge'!E$26:F$126,MATCH(C333,'Step 4 Stage Discharge'!E$26:E$126,1)+1,1)-INDEX('Step 4 Stage Discharge'!E$26:F$126,MATCH(C333,'Step 4 Stage Discharge'!E$26:E$126,1),1))</f>
        <v>0</v>
      </c>
      <c r="E333" s="219">
        <f>INDEX('Step 4 Stage Discharge'!E$26:M$126,MATCH(C333,'Step 4 Stage Discharge'!E$26:E$126,1),9)+(INDEX('Step 4 Stage Discharge'!E$26:M$126,MATCH('Step 6 Quality Check'!C333,'Step 4 Stage Discharge'!E$26:E$126,1)+1,9)-INDEX('Step 4 Stage Discharge'!E$26:M$126,MATCH('Step 6 Quality Check'!C333,'Step 4 Stage Discharge'!E$26:E$126,1),9))*('Step 6 Quality Check'!C333-INDEX('Step 4 Stage Discharge'!E$26:M$126,MATCH('Step 6 Quality Check'!C333,'Step 4 Stage Discharge'!E$26:E$126,1),1))/(INDEX('Step 4 Stage Discharge'!E$26:M$126,MATCH('Step 6 Quality Check'!C333,'Step 4 Stage Discharge'!E$26:E$126,1)+1,1)-INDEX('Step 4 Stage Discharge'!E$26:M$126,MATCH('Step 6 Quality Check'!C333,'Step 4 Stage Discharge'!E$26:E$126,1),1))</f>
        <v>4.3639431710317386E-3</v>
      </c>
      <c r="F333" s="218">
        <f t="shared" si="20"/>
        <v>0</v>
      </c>
      <c r="G333" s="218">
        <f t="shared" si="21"/>
        <v>0</v>
      </c>
    </row>
    <row r="334" spans="1:7">
      <c r="A334" s="217">
        <f t="shared" si="22"/>
        <v>1590</v>
      </c>
      <c r="B334" s="216">
        <f t="shared" si="23"/>
        <v>99.1</v>
      </c>
      <c r="C334" s="218">
        <f t="shared" si="24"/>
        <v>0</v>
      </c>
      <c r="D334" s="219">
        <f>INDEX('Step 4 Stage Discharge'!E$26:F$126,MATCH(C334,'Step 4 Stage Discharge'!E$26:E$126,1),2)+(INDEX('Step 4 Stage Discharge'!E$26:F$126,MATCH(C334,'Step 4 Stage Discharge'!E$26:E$126,1)+1,2)-INDEX('Step 4 Stage Discharge'!E$26:F$126,MATCH(C334,'Step 4 Stage Discharge'!E$26:E$126,1),2))*(C334-INDEX('Step 4 Stage Discharge'!E$26:F$126,MATCH(C334,'Step 4 Stage Discharge'!E$26:E$126,1),1))/(INDEX('Step 4 Stage Discharge'!E$26:F$126,MATCH(C334,'Step 4 Stage Discharge'!E$26:E$126,1)+1,1)-INDEX('Step 4 Stage Discharge'!E$26:F$126,MATCH(C334,'Step 4 Stage Discharge'!E$26:E$126,1),1))</f>
        <v>0</v>
      </c>
      <c r="E334" s="219">
        <f>INDEX('Step 4 Stage Discharge'!E$26:M$126,MATCH(C334,'Step 4 Stage Discharge'!E$26:E$126,1),9)+(INDEX('Step 4 Stage Discharge'!E$26:M$126,MATCH('Step 6 Quality Check'!C334,'Step 4 Stage Discharge'!E$26:E$126,1)+1,9)-INDEX('Step 4 Stage Discharge'!E$26:M$126,MATCH('Step 6 Quality Check'!C334,'Step 4 Stage Discharge'!E$26:E$126,1),9))*('Step 6 Quality Check'!C334-INDEX('Step 4 Stage Discharge'!E$26:M$126,MATCH('Step 6 Quality Check'!C334,'Step 4 Stage Discharge'!E$26:E$126,1),1))/(INDEX('Step 4 Stage Discharge'!E$26:M$126,MATCH('Step 6 Quality Check'!C334,'Step 4 Stage Discharge'!E$26:E$126,1)+1,1)-INDEX('Step 4 Stage Discharge'!E$26:M$126,MATCH('Step 6 Quality Check'!C334,'Step 4 Stage Discharge'!E$26:E$126,1),1))</f>
        <v>4.3639431710317386E-3</v>
      </c>
      <c r="F334" s="218">
        <f t="shared" si="20"/>
        <v>0</v>
      </c>
      <c r="G334" s="218">
        <f t="shared" si="21"/>
        <v>0</v>
      </c>
    </row>
    <row r="335" spans="1:7">
      <c r="A335" s="217">
        <f t="shared" si="22"/>
        <v>1595</v>
      </c>
      <c r="B335" s="216">
        <f t="shared" si="23"/>
        <v>99.1</v>
      </c>
      <c r="C335" s="218">
        <f t="shared" si="24"/>
        <v>0</v>
      </c>
      <c r="D335" s="219">
        <f>INDEX('Step 4 Stage Discharge'!E$26:F$126,MATCH(C335,'Step 4 Stage Discharge'!E$26:E$126,1),2)+(INDEX('Step 4 Stage Discharge'!E$26:F$126,MATCH(C335,'Step 4 Stage Discharge'!E$26:E$126,1)+1,2)-INDEX('Step 4 Stage Discharge'!E$26:F$126,MATCH(C335,'Step 4 Stage Discharge'!E$26:E$126,1),2))*(C335-INDEX('Step 4 Stage Discharge'!E$26:F$126,MATCH(C335,'Step 4 Stage Discharge'!E$26:E$126,1),1))/(INDEX('Step 4 Stage Discharge'!E$26:F$126,MATCH(C335,'Step 4 Stage Discharge'!E$26:E$126,1)+1,1)-INDEX('Step 4 Stage Discharge'!E$26:F$126,MATCH(C335,'Step 4 Stage Discharge'!E$26:E$126,1),1))</f>
        <v>0</v>
      </c>
      <c r="E335" s="219">
        <f>INDEX('Step 4 Stage Discharge'!E$26:M$126,MATCH(C335,'Step 4 Stage Discharge'!E$26:E$126,1),9)+(INDEX('Step 4 Stage Discharge'!E$26:M$126,MATCH('Step 6 Quality Check'!C335,'Step 4 Stage Discharge'!E$26:E$126,1)+1,9)-INDEX('Step 4 Stage Discharge'!E$26:M$126,MATCH('Step 6 Quality Check'!C335,'Step 4 Stage Discharge'!E$26:E$126,1),9))*('Step 6 Quality Check'!C335-INDEX('Step 4 Stage Discharge'!E$26:M$126,MATCH('Step 6 Quality Check'!C335,'Step 4 Stage Discharge'!E$26:E$126,1),1))/(INDEX('Step 4 Stage Discharge'!E$26:M$126,MATCH('Step 6 Quality Check'!C335,'Step 4 Stage Discharge'!E$26:E$126,1)+1,1)-INDEX('Step 4 Stage Discharge'!E$26:M$126,MATCH('Step 6 Quality Check'!C335,'Step 4 Stage Discharge'!E$26:E$126,1),1))</f>
        <v>4.3639431710317386E-3</v>
      </c>
      <c r="F335" s="218">
        <f t="shared" si="20"/>
        <v>0</v>
      </c>
      <c r="G335" s="218">
        <f t="shared" si="21"/>
        <v>0</v>
      </c>
    </row>
    <row r="336" spans="1:7">
      <c r="A336" s="217">
        <f t="shared" si="22"/>
        <v>1600</v>
      </c>
      <c r="B336" s="216">
        <f t="shared" si="23"/>
        <v>99.1</v>
      </c>
      <c r="C336" s="218">
        <f t="shared" si="24"/>
        <v>0</v>
      </c>
      <c r="D336" s="219">
        <f>INDEX('Step 4 Stage Discharge'!E$26:F$126,MATCH(C336,'Step 4 Stage Discharge'!E$26:E$126,1),2)+(INDEX('Step 4 Stage Discharge'!E$26:F$126,MATCH(C336,'Step 4 Stage Discharge'!E$26:E$126,1)+1,2)-INDEX('Step 4 Stage Discharge'!E$26:F$126,MATCH(C336,'Step 4 Stage Discharge'!E$26:E$126,1),2))*(C336-INDEX('Step 4 Stage Discharge'!E$26:F$126,MATCH(C336,'Step 4 Stage Discharge'!E$26:E$126,1),1))/(INDEX('Step 4 Stage Discharge'!E$26:F$126,MATCH(C336,'Step 4 Stage Discharge'!E$26:E$126,1)+1,1)-INDEX('Step 4 Stage Discharge'!E$26:F$126,MATCH(C336,'Step 4 Stage Discharge'!E$26:E$126,1),1))</f>
        <v>0</v>
      </c>
      <c r="E336" s="219">
        <f>INDEX('Step 4 Stage Discharge'!E$26:M$126,MATCH(C336,'Step 4 Stage Discharge'!E$26:E$126,1),9)+(INDEX('Step 4 Stage Discharge'!E$26:M$126,MATCH('Step 6 Quality Check'!C336,'Step 4 Stage Discharge'!E$26:E$126,1)+1,9)-INDEX('Step 4 Stage Discharge'!E$26:M$126,MATCH('Step 6 Quality Check'!C336,'Step 4 Stage Discharge'!E$26:E$126,1),9))*('Step 6 Quality Check'!C336-INDEX('Step 4 Stage Discharge'!E$26:M$126,MATCH('Step 6 Quality Check'!C336,'Step 4 Stage Discharge'!E$26:E$126,1),1))/(INDEX('Step 4 Stage Discharge'!E$26:M$126,MATCH('Step 6 Quality Check'!C336,'Step 4 Stage Discharge'!E$26:E$126,1)+1,1)-INDEX('Step 4 Stage Discharge'!E$26:M$126,MATCH('Step 6 Quality Check'!C336,'Step 4 Stage Discharge'!E$26:E$126,1),1))</f>
        <v>4.3639431710317386E-3</v>
      </c>
      <c r="F336" s="218">
        <f t="shared" ref="F336:F399" si="25">IF(E336*60*C$9&gt;C336,C336,E336*60*C$9)</f>
        <v>0</v>
      </c>
      <c r="G336" s="218">
        <f t="shared" ref="G336:G399" si="26">IF(C336-F336&lt;0,0,C336-F336)</f>
        <v>0</v>
      </c>
    </row>
    <row r="337" spans="1:7">
      <c r="A337" s="217">
        <f t="shared" ref="A337:A400" si="27">+A336+C$9</f>
        <v>1605</v>
      </c>
      <c r="B337" s="216">
        <f t="shared" si="23"/>
        <v>99.1</v>
      </c>
      <c r="C337" s="218">
        <f t="shared" si="24"/>
        <v>0</v>
      </c>
      <c r="D337" s="219">
        <f>INDEX('Step 4 Stage Discharge'!E$26:F$126,MATCH(C337,'Step 4 Stage Discharge'!E$26:E$126,1),2)+(INDEX('Step 4 Stage Discharge'!E$26:F$126,MATCH(C337,'Step 4 Stage Discharge'!E$26:E$126,1)+1,2)-INDEX('Step 4 Stage Discharge'!E$26:F$126,MATCH(C337,'Step 4 Stage Discharge'!E$26:E$126,1),2))*(C337-INDEX('Step 4 Stage Discharge'!E$26:F$126,MATCH(C337,'Step 4 Stage Discharge'!E$26:E$126,1),1))/(INDEX('Step 4 Stage Discharge'!E$26:F$126,MATCH(C337,'Step 4 Stage Discharge'!E$26:E$126,1)+1,1)-INDEX('Step 4 Stage Discharge'!E$26:F$126,MATCH(C337,'Step 4 Stage Discharge'!E$26:E$126,1),1))</f>
        <v>0</v>
      </c>
      <c r="E337" s="219">
        <f>INDEX('Step 4 Stage Discharge'!E$26:M$126,MATCH(C337,'Step 4 Stage Discharge'!E$26:E$126,1),9)+(INDEX('Step 4 Stage Discharge'!E$26:M$126,MATCH('Step 6 Quality Check'!C337,'Step 4 Stage Discharge'!E$26:E$126,1)+1,9)-INDEX('Step 4 Stage Discharge'!E$26:M$126,MATCH('Step 6 Quality Check'!C337,'Step 4 Stage Discharge'!E$26:E$126,1),9))*('Step 6 Quality Check'!C337-INDEX('Step 4 Stage Discharge'!E$26:M$126,MATCH('Step 6 Quality Check'!C337,'Step 4 Stage Discharge'!E$26:E$126,1),1))/(INDEX('Step 4 Stage Discharge'!E$26:M$126,MATCH('Step 6 Quality Check'!C337,'Step 4 Stage Discharge'!E$26:E$126,1)+1,1)-INDEX('Step 4 Stage Discharge'!E$26:M$126,MATCH('Step 6 Quality Check'!C337,'Step 4 Stage Discharge'!E$26:E$126,1),1))</f>
        <v>4.3639431710317386E-3</v>
      </c>
      <c r="F337" s="218">
        <f t="shared" si="25"/>
        <v>0</v>
      </c>
      <c r="G337" s="218">
        <f t="shared" si="26"/>
        <v>0</v>
      </c>
    </row>
    <row r="338" spans="1:7">
      <c r="A338" s="217">
        <f t="shared" si="27"/>
        <v>1610</v>
      </c>
      <c r="B338" s="216">
        <f t="shared" ref="B338:B401" si="28">C$6+D338</f>
        <v>99.1</v>
      </c>
      <c r="C338" s="218">
        <f t="shared" ref="C338:C401" si="29">+G337</f>
        <v>0</v>
      </c>
      <c r="D338" s="219">
        <f>INDEX('Step 4 Stage Discharge'!E$26:F$126,MATCH(C338,'Step 4 Stage Discharge'!E$26:E$126,1),2)+(INDEX('Step 4 Stage Discharge'!E$26:F$126,MATCH(C338,'Step 4 Stage Discharge'!E$26:E$126,1)+1,2)-INDEX('Step 4 Stage Discharge'!E$26:F$126,MATCH(C338,'Step 4 Stage Discharge'!E$26:E$126,1),2))*(C338-INDEX('Step 4 Stage Discharge'!E$26:F$126,MATCH(C338,'Step 4 Stage Discharge'!E$26:E$126,1),1))/(INDEX('Step 4 Stage Discharge'!E$26:F$126,MATCH(C338,'Step 4 Stage Discharge'!E$26:E$126,1)+1,1)-INDEX('Step 4 Stage Discharge'!E$26:F$126,MATCH(C338,'Step 4 Stage Discharge'!E$26:E$126,1),1))</f>
        <v>0</v>
      </c>
      <c r="E338" s="219">
        <f>INDEX('Step 4 Stage Discharge'!E$26:M$126,MATCH(C338,'Step 4 Stage Discharge'!E$26:E$126,1),9)+(INDEX('Step 4 Stage Discharge'!E$26:M$126,MATCH('Step 6 Quality Check'!C338,'Step 4 Stage Discharge'!E$26:E$126,1)+1,9)-INDEX('Step 4 Stage Discharge'!E$26:M$126,MATCH('Step 6 Quality Check'!C338,'Step 4 Stage Discharge'!E$26:E$126,1),9))*('Step 6 Quality Check'!C338-INDEX('Step 4 Stage Discharge'!E$26:M$126,MATCH('Step 6 Quality Check'!C338,'Step 4 Stage Discharge'!E$26:E$126,1),1))/(INDEX('Step 4 Stage Discharge'!E$26:M$126,MATCH('Step 6 Quality Check'!C338,'Step 4 Stage Discharge'!E$26:E$126,1)+1,1)-INDEX('Step 4 Stage Discharge'!E$26:M$126,MATCH('Step 6 Quality Check'!C338,'Step 4 Stage Discharge'!E$26:E$126,1),1))</f>
        <v>4.3639431710317386E-3</v>
      </c>
      <c r="F338" s="218">
        <f t="shared" si="25"/>
        <v>0</v>
      </c>
      <c r="G338" s="218">
        <f t="shared" si="26"/>
        <v>0</v>
      </c>
    </row>
    <row r="339" spans="1:7">
      <c r="A339" s="217">
        <f t="shared" si="27"/>
        <v>1615</v>
      </c>
      <c r="B339" s="216">
        <f t="shared" si="28"/>
        <v>99.1</v>
      </c>
      <c r="C339" s="218">
        <f t="shared" si="29"/>
        <v>0</v>
      </c>
      <c r="D339" s="219">
        <f>INDEX('Step 4 Stage Discharge'!E$26:F$126,MATCH(C339,'Step 4 Stage Discharge'!E$26:E$126,1),2)+(INDEX('Step 4 Stage Discharge'!E$26:F$126,MATCH(C339,'Step 4 Stage Discharge'!E$26:E$126,1)+1,2)-INDEX('Step 4 Stage Discharge'!E$26:F$126,MATCH(C339,'Step 4 Stage Discharge'!E$26:E$126,1),2))*(C339-INDEX('Step 4 Stage Discharge'!E$26:F$126,MATCH(C339,'Step 4 Stage Discharge'!E$26:E$126,1),1))/(INDEX('Step 4 Stage Discharge'!E$26:F$126,MATCH(C339,'Step 4 Stage Discharge'!E$26:E$126,1)+1,1)-INDEX('Step 4 Stage Discharge'!E$26:F$126,MATCH(C339,'Step 4 Stage Discharge'!E$26:E$126,1),1))</f>
        <v>0</v>
      </c>
      <c r="E339" s="219">
        <f>INDEX('Step 4 Stage Discharge'!E$26:M$126,MATCH(C339,'Step 4 Stage Discharge'!E$26:E$126,1),9)+(INDEX('Step 4 Stage Discharge'!E$26:M$126,MATCH('Step 6 Quality Check'!C339,'Step 4 Stage Discharge'!E$26:E$126,1)+1,9)-INDEX('Step 4 Stage Discharge'!E$26:M$126,MATCH('Step 6 Quality Check'!C339,'Step 4 Stage Discharge'!E$26:E$126,1),9))*('Step 6 Quality Check'!C339-INDEX('Step 4 Stage Discharge'!E$26:M$126,MATCH('Step 6 Quality Check'!C339,'Step 4 Stage Discharge'!E$26:E$126,1),1))/(INDEX('Step 4 Stage Discharge'!E$26:M$126,MATCH('Step 6 Quality Check'!C339,'Step 4 Stage Discharge'!E$26:E$126,1)+1,1)-INDEX('Step 4 Stage Discharge'!E$26:M$126,MATCH('Step 6 Quality Check'!C339,'Step 4 Stage Discharge'!E$26:E$126,1),1))</f>
        <v>4.3639431710317386E-3</v>
      </c>
      <c r="F339" s="218">
        <f t="shared" si="25"/>
        <v>0</v>
      </c>
      <c r="G339" s="218">
        <f t="shared" si="26"/>
        <v>0</v>
      </c>
    </row>
    <row r="340" spans="1:7">
      <c r="A340" s="217">
        <f t="shared" si="27"/>
        <v>1620</v>
      </c>
      <c r="B340" s="216">
        <f t="shared" si="28"/>
        <v>99.1</v>
      </c>
      <c r="C340" s="218">
        <f t="shared" si="29"/>
        <v>0</v>
      </c>
      <c r="D340" s="219">
        <f>INDEX('Step 4 Stage Discharge'!E$26:F$126,MATCH(C340,'Step 4 Stage Discharge'!E$26:E$126,1),2)+(INDEX('Step 4 Stage Discharge'!E$26:F$126,MATCH(C340,'Step 4 Stage Discharge'!E$26:E$126,1)+1,2)-INDEX('Step 4 Stage Discharge'!E$26:F$126,MATCH(C340,'Step 4 Stage Discharge'!E$26:E$126,1),2))*(C340-INDEX('Step 4 Stage Discharge'!E$26:F$126,MATCH(C340,'Step 4 Stage Discharge'!E$26:E$126,1),1))/(INDEX('Step 4 Stage Discharge'!E$26:F$126,MATCH(C340,'Step 4 Stage Discharge'!E$26:E$126,1)+1,1)-INDEX('Step 4 Stage Discharge'!E$26:F$126,MATCH(C340,'Step 4 Stage Discharge'!E$26:E$126,1),1))</f>
        <v>0</v>
      </c>
      <c r="E340" s="219">
        <f>INDEX('Step 4 Stage Discharge'!E$26:M$126,MATCH(C340,'Step 4 Stage Discharge'!E$26:E$126,1),9)+(INDEX('Step 4 Stage Discharge'!E$26:M$126,MATCH('Step 6 Quality Check'!C340,'Step 4 Stage Discharge'!E$26:E$126,1)+1,9)-INDEX('Step 4 Stage Discharge'!E$26:M$126,MATCH('Step 6 Quality Check'!C340,'Step 4 Stage Discharge'!E$26:E$126,1),9))*('Step 6 Quality Check'!C340-INDEX('Step 4 Stage Discharge'!E$26:M$126,MATCH('Step 6 Quality Check'!C340,'Step 4 Stage Discharge'!E$26:E$126,1),1))/(INDEX('Step 4 Stage Discharge'!E$26:M$126,MATCH('Step 6 Quality Check'!C340,'Step 4 Stage Discharge'!E$26:E$126,1)+1,1)-INDEX('Step 4 Stage Discharge'!E$26:M$126,MATCH('Step 6 Quality Check'!C340,'Step 4 Stage Discharge'!E$26:E$126,1),1))</f>
        <v>4.3639431710317386E-3</v>
      </c>
      <c r="F340" s="218">
        <f t="shared" si="25"/>
        <v>0</v>
      </c>
      <c r="G340" s="218">
        <f t="shared" si="26"/>
        <v>0</v>
      </c>
    </row>
    <row r="341" spans="1:7">
      <c r="A341" s="217">
        <f t="shared" si="27"/>
        <v>1625</v>
      </c>
      <c r="B341" s="216">
        <f t="shared" si="28"/>
        <v>99.1</v>
      </c>
      <c r="C341" s="218">
        <f t="shared" si="29"/>
        <v>0</v>
      </c>
      <c r="D341" s="219">
        <f>INDEX('Step 4 Stage Discharge'!E$26:F$126,MATCH(C341,'Step 4 Stage Discharge'!E$26:E$126,1),2)+(INDEX('Step 4 Stage Discharge'!E$26:F$126,MATCH(C341,'Step 4 Stage Discharge'!E$26:E$126,1)+1,2)-INDEX('Step 4 Stage Discharge'!E$26:F$126,MATCH(C341,'Step 4 Stage Discharge'!E$26:E$126,1),2))*(C341-INDEX('Step 4 Stage Discharge'!E$26:F$126,MATCH(C341,'Step 4 Stage Discharge'!E$26:E$126,1),1))/(INDEX('Step 4 Stage Discharge'!E$26:F$126,MATCH(C341,'Step 4 Stage Discharge'!E$26:E$126,1)+1,1)-INDEX('Step 4 Stage Discharge'!E$26:F$126,MATCH(C341,'Step 4 Stage Discharge'!E$26:E$126,1),1))</f>
        <v>0</v>
      </c>
      <c r="E341" s="219">
        <f>INDEX('Step 4 Stage Discharge'!E$26:M$126,MATCH(C341,'Step 4 Stage Discharge'!E$26:E$126,1),9)+(INDEX('Step 4 Stage Discharge'!E$26:M$126,MATCH('Step 6 Quality Check'!C341,'Step 4 Stage Discharge'!E$26:E$126,1)+1,9)-INDEX('Step 4 Stage Discharge'!E$26:M$126,MATCH('Step 6 Quality Check'!C341,'Step 4 Stage Discharge'!E$26:E$126,1),9))*('Step 6 Quality Check'!C341-INDEX('Step 4 Stage Discharge'!E$26:M$126,MATCH('Step 6 Quality Check'!C341,'Step 4 Stage Discharge'!E$26:E$126,1),1))/(INDEX('Step 4 Stage Discharge'!E$26:M$126,MATCH('Step 6 Quality Check'!C341,'Step 4 Stage Discharge'!E$26:E$126,1)+1,1)-INDEX('Step 4 Stage Discharge'!E$26:M$126,MATCH('Step 6 Quality Check'!C341,'Step 4 Stage Discharge'!E$26:E$126,1),1))</f>
        <v>4.3639431710317386E-3</v>
      </c>
      <c r="F341" s="218">
        <f t="shared" si="25"/>
        <v>0</v>
      </c>
      <c r="G341" s="218">
        <f t="shared" si="26"/>
        <v>0</v>
      </c>
    </row>
    <row r="342" spans="1:7">
      <c r="A342" s="217">
        <f t="shared" si="27"/>
        <v>1630</v>
      </c>
      <c r="B342" s="216">
        <f t="shared" si="28"/>
        <v>99.1</v>
      </c>
      <c r="C342" s="218">
        <f t="shared" si="29"/>
        <v>0</v>
      </c>
      <c r="D342" s="219">
        <f>INDEX('Step 4 Stage Discharge'!E$26:F$126,MATCH(C342,'Step 4 Stage Discharge'!E$26:E$126,1),2)+(INDEX('Step 4 Stage Discharge'!E$26:F$126,MATCH(C342,'Step 4 Stage Discharge'!E$26:E$126,1)+1,2)-INDEX('Step 4 Stage Discharge'!E$26:F$126,MATCH(C342,'Step 4 Stage Discharge'!E$26:E$126,1),2))*(C342-INDEX('Step 4 Stage Discharge'!E$26:F$126,MATCH(C342,'Step 4 Stage Discharge'!E$26:E$126,1),1))/(INDEX('Step 4 Stage Discharge'!E$26:F$126,MATCH(C342,'Step 4 Stage Discharge'!E$26:E$126,1)+1,1)-INDEX('Step 4 Stage Discharge'!E$26:F$126,MATCH(C342,'Step 4 Stage Discharge'!E$26:E$126,1),1))</f>
        <v>0</v>
      </c>
      <c r="E342" s="219">
        <f>INDEX('Step 4 Stage Discharge'!E$26:M$126,MATCH(C342,'Step 4 Stage Discharge'!E$26:E$126,1),9)+(INDEX('Step 4 Stage Discharge'!E$26:M$126,MATCH('Step 6 Quality Check'!C342,'Step 4 Stage Discharge'!E$26:E$126,1)+1,9)-INDEX('Step 4 Stage Discharge'!E$26:M$126,MATCH('Step 6 Quality Check'!C342,'Step 4 Stage Discharge'!E$26:E$126,1),9))*('Step 6 Quality Check'!C342-INDEX('Step 4 Stage Discharge'!E$26:M$126,MATCH('Step 6 Quality Check'!C342,'Step 4 Stage Discharge'!E$26:E$126,1),1))/(INDEX('Step 4 Stage Discharge'!E$26:M$126,MATCH('Step 6 Quality Check'!C342,'Step 4 Stage Discharge'!E$26:E$126,1)+1,1)-INDEX('Step 4 Stage Discharge'!E$26:M$126,MATCH('Step 6 Quality Check'!C342,'Step 4 Stage Discharge'!E$26:E$126,1),1))</f>
        <v>4.3639431710317386E-3</v>
      </c>
      <c r="F342" s="218">
        <f t="shared" si="25"/>
        <v>0</v>
      </c>
      <c r="G342" s="218">
        <f t="shared" si="26"/>
        <v>0</v>
      </c>
    </row>
    <row r="343" spans="1:7">
      <c r="A343" s="217">
        <f t="shared" si="27"/>
        <v>1635</v>
      </c>
      <c r="B343" s="216">
        <f t="shared" si="28"/>
        <v>99.1</v>
      </c>
      <c r="C343" s="218">
        <f t="shared" si="29"/>
        <v>0</v>
      </c>
      <c r="D343" s="219">
        <f>INDEX('Step 4 Stage Discharge'!E$26:F$126,MATCH(C343,'Step 4 Stage Discharge'!E$26:E$126,1),2)+(INDEX('Step 4 Stage Discharge'!E$26:F$126,MATCH(C343,'Step 4 Stage Discharge'!E$26:E$126,1)+1,2)-INDEX('Step 4 Stage Discharge'!E$26:F$126,MATCH(C343,'Step 4 Stage Discharge'!E$26:E$126,1),2))*(C343-INDEX('Step 4 Stage Discharge'!E$26:F$126,MATCH(C343,'Step 4 Stage Discharge'!E$26:E$126,1),1))/(INDEX('Step 4 Stage Discharge'!E$26:F$126,MATCH(C343,'Step 4 Stage Discharge'!E$26:E$126,1)+1,1)-INDEX('Step 4 Stage Discharge'!E$26:F$126,MATCH(C343,'Step 4 Stage Discharge'!E$26:E$126,1),1))</f>
        <v>0</v>
      </c>
      <c r="E343" s="219">
        <f>INDEX('Step 4 Stage Discharge'!E$26:M$126,MATCH(C343,'Step 4 Stage Discharge'!E$26:E$126,1),9)+(INDEX('Step 4 Stage Discharge'!E$26:M$126,MATCH('Step 6 Quality Check'!C343,'Step 4 Stage Discharge'!E$26:E$126,1)+1,9)-INDEX('Step 4 Stage Discharge'!E$26:M$126,MATCH('Step 6 Quality Check'!C343,'Step 4 Stage Discharge'!E$26:E$126,1),9))*('Step 6 Quality Check'!C343-INDEX('Step 4 Stage Discharge'!E$26:M$126,MATCH('Step 6 Quality Check'!C343,'Step 4 Stage Discharge'!E$26:E$126,1),1))/(INDEX('Step 4 Stage Discharge'!E$26:M$126,MATCH('Step 6 Quality Check'!C343,'Step 4 Stage Discharge'!E$26:E$126,1)+1,1)-INDEX('Step 4 Stage Discharge'!E$26:M$126,MATCH('Step 6 Quality Check'!C343,'Step 4 Stage Discharge'!E$26:E$126,1),1))</f>
        <v>4.3639431710317386E-3</v>
      </c>
      <c r="F343" s="218">
        <f t="shared" si="25"/>
        <v>0</v>
      </c>
      <c r="G343" s="218">
        <f t="shared" si="26"/>
        <v>0</v>
      </c>
    </row>
    <row r="344" spans="1:7">
      <c r="A344" s="217">
        <f t="shared" si="27"/>
        <v>1640</v>
      </c>
      <c r="B344" s="216">
        <f t="shared" si="28"/>
        <v>99.1</v>
      </c>
      <c r="C344" s="218">
        <f t="shared" si="29"/>
        <v>0</v>
      </c>
      <c r="D344" s="219">
        <f>INDEX('Step 4 Stage Discharge'!E$26:F$126,MATCH(C344,'Step 4 Stage Discharge'!E$26:E$126,1),2)+(INDEX('Step 4 Stage Discharge'!E$26:F$126,MATCH(C344,'Step 4 Stage Discharge'!E$26:E$126,1)+1,2)-INDEX('Step 4 Stage Discharge'!E$26:F$126,MATCH(C344,'Step 4 Stage Discharge'!E$26:E$126,1),2))*(C344-INDEX('Step 4 Stage Discharge'!E$26:F$126,MATCH(C344,'Step 4 Stage Discharge'!E$26:E$126,1),1))/(INDEX('Step 4 Stage Discharge'!E$26:F$126,MATCH(C344,'Step 4 Stage Discharge'!E$26:E$126,1)+1,1)-INDEX('Step 4 Stage Discharge'!E$26:F$126,MATCH(C344,'Step 4 Stage Discharge'!E$26:E$126,1),1))</f>
        <v>0</v>
      </c>
      <c r="E344" s="219">
        <f>INDEX('Step 4 Stage Discharge'!E$26:M$126,MATCH(C344,'Step 4 Stage Discharge'!E$26:E$126,1),9)+(INDEX('Step 4 Stage Discharge'!E$26:M$126,MATCH('Step 6 Quality Check'!C344,'Step 4 Stage Discharge'!E$26:E$126,1)+1,9)-INDEX('Step 4 Stage Discharge'!E$26:M$126,MATCH('Step 6 Quality Check'!C344,'Step 4 Stage Discharge'!E$26:E$126,1),9))*('Step 6 Quality Check'!C344-INDEX('Step 4 Stage Discharge'!E$26:M$126,MATCH('Step 6 Quality Check'!C344,'Step 4 Stage Discharge'!E$26:E$126,1),1))/(INDEX('Step 4 Stage Discharge'!E$26:M$126,MATCH('Step 6 Quality Check'!C344,'Step 4 Stage Discharge'!E$26:E$126,1)+1,1)-INDEX('Step 4 Stage Discharge'!E$26:M$126,MATCH('Step 6 Quality Check'!C344,'Step 4 Stage Discharge'!E$26:E$126,1),1))</f>
        <v>4.3639431710317386E-3</v>
      </c>
      <c r="F344" s="218">
        <f t="shared" si="25"/>
        <v>0</v>
      </c>
      <c r="G344" s="218">
        <f t="shared" si="26"/>
        <v>0</v>
      </c>
    </row>
    <row r="345" spans="1:7">
      <c r="A345" s="217">
        <f t="shared" si="27"/>
        <v>1645</v>
      </c>
      <c r="B345" s="216">
        <f t="shared" si="28"/>
        <v>99.1</v>
      </c>
      <c r="C345" s="218">
        <f t="shared" si="29"/>
        <v>0</v>
      </c>
      <c r="D345" s="219">
        <f>INDEX('Step 4 Stage Discharge'!E$26:F$126,MATCH(C345,'Step 4 Stage Discharge'!E$26:E$126,1),2)+(INDEX('Step 4 Stage Discharge'!E$26:F$126,MATCH(C345,'Step 4 Stage Discharge'!E$26:E$126,1)+1,2)-INDEX('Step 4 Stage Discharge'!E$26:F$126,MATCH(C345,'Step 4 Stage Discharge'!E$26:E$126,1),2))*(C345-INDEX('Step 4 Stage Discharge'!E$26:F$126,MATCH(C345,'Step 4 Stage Discharge'!E$26:E$126,1),1))/(INDEX('Step 4 Stage Discharge'!E$26:F$126,MATCH(C345,'Step 4 Stage Discharge'!E$26:E$126,1)+1,1)-INDEX('Step 4 Stage Discharge'!E$26:F$126,MATCH(C345,'Step 4 Stage Discharge'!E$26:E$126,1),1))</f>
        <v>0</v>
      </c>
      <c r="E345" s="219">
        <f>INDEX('Step 4 Stage Discharge'!E$26:M$126,MATCH(C345,'Step 4 Stage Discharge'!E$26:E$126,1),9)+(INDEX('Step 4 Stage Discharge'!E$26:M$126,MATCH('Step 6 Quality Check'!C345,'Step 4 Stage Discharge'!E$26:E$126,1)+1,9)-INDEX('Step 4 Stage Discharge'!E$26:M$126,MATCH('Step 6 Quality Check'!C345,'Step 4 Stage Discharge'!E$26:E$126,1),9))*('Step 6 Quality Check'!C345-INDEX('Step 4 Stage Discharge'!E$26:M$126,MATCH('Step 6 Quality Check'!C345,'Step 4 Stage Discharge'!E$26:E$126,1),1))/(INDEX('Step 4 Stage Discharge'!E$26:M$126,MATCH('Step 6 Quality Check'!C345,'Step 4 Stage Discharge'!E$26:E$126,1)+1,1)-INDEX('Step 4 Stage Discharge'!E$26:M$126,MATCH('Step 6 Quality Check'!C345,'Step 4 Stage Discharge'!E$26:E$126,1),1))</f>
        <v>4.3639431710317386E-3</v>
      </c>
      <c r="F345" s="218">
        <f t="shared" si="25"/>
        <v>0</v>
      </c>
      <c r="G345" s="218">
        <f t="shared" si="26"/>
        <v>0</v>
      </c>
    </row>
    <row r="346" spans="1:7">
      <c r="A346" s="217">
        <f t="shared" si="27"/>
        <v>1650</v>
      </c>
      <c r="B346" s="216">
        <f t="shared" si="28"/>
        <v>99.1</v>
      </c>
      <c r="C346" s="218">
        <f t="shared" si="29"/>
        <v>0</v>
      </c>
      <c r="D346" s="219">
        <f>INDEX('Step 4 Stage Discharge'!E$26:F$126,MATCH(C346,'Step 4 Stage Discharge'!E$26:E$126,1),2)+(INDEX('Step 4 Stage Discharge'!E$26:F$126,MATCH(C346,'Step 4 Stage Discharge'!E$26:E$126,1)+1,2)-INDEX('Step 4 Stage Discharge'!E$26:F$126,MATCH(C346,'Step 4 Stage Discharge'!E$26:E$126,1),2))*(C346-INDEX('Step 4 Stage Discharge'!E$26:F$126,MATCH(C346,'Step 4 Stage Discharge'!E$26:E$126,1),1))/(INDEX('Step 4 Stage Discharge'!E$26:F$126,MATCH(C346,'Step 4 Stage Discharge'!E$26:E$126,1)+1,1)-INDEX('Step 4 Stage Discharge'!E$26:F$126,MATCH(C346,'Step 4 Stage Discharge'!E$26:E$126,1),1))</f>
        <v>0</v>
      </c>
      <c r="E346" s="219">
        <f>INDEX('Step 4 Stage Discharge'!E$26:M$126,MATCH(C346,'Step 4 Stage Discharge'!E$26:E$126,1),9)+(INDEX('Step 4 Stage Discharge'!E$26:M$126,MATCH('Step 6 Quality Check'!C346,'Step 4 Stage Discharge'!E$26:E$126,1)+1,9)-INDEX('Step 4 Stage Discharge'!E$26:M$126,MATCH('Step 6 Quality Check'!C346,'Step 4 Stage Discharge'!E$26:E$126,1),9))*('Step 6 Quality Check'!C346-INDEX('Step 4 Stage Discharge'!E$26:M$126,MATCH('Step 6 Quality Check'!C346,'Step 4 Stage Discharge'!E$26:E$126,1),1))/(INDEX('Step 4 Stage Discharge'!E$26:M$126,MATCH('Step 6 Quality Check'!C346,'Step 4 Stage Discharge'!E$26:E$126,1)+1,1)-INDEX('Step 4 Stage Discharge'!E$26:M$126,MATCH('Step 6 Quality Check'!C346,'Step 4 Stage Discharge'!E$26:E$126,1),1))</f>
        <v>4.3639431710317386E-3</v>
      </c>
      <c r="F346" s="218">
        <f t="shared" si="25"/>
        <v>0</v>
      </c>
      <c r="G346" s="218">
        <f t="shared" si="26"/>
        <v>0</v>
      </c>
    </row>
    <row r="347" spans="1:7">
      <c r="A347" s="217">
        <f t="shared" si="27"/>
        <v>1655</v>
      </c>
      <c r="B347" s="216">
        <f t="shared" si="28"/>
        <v>99.1</v>
      </c>
      <c r="C347" s="218">
        <f t="shared" si="29"/>
        <v>0</v>
      </c>
      <c r="D347" s="219">
        <f>INDEX('Step 4 Stage Discharge'!E$26:F$126,MATCH(C347,'Step 4 Stage Discharge'!E$26:E$126,1),2)+(INDEX('Step 4 Stage Discharge'!E$26:F$126,MATCH(C347,'Step 4 Stage Discharge'!E$26:E$126,1)+1,2)-INDEX('Step 4 Stage Discharge'!E$26:F$126,MATCH(C347,'Step 4 Stage Discharge'!E$26:E$126,1),2))*(C347-INDEX('Step 4 Stage Discharge'!E$26:F$126,MATCH(C347,'Step 4 Stage Discharge'!E$26:E$126,1),1))/(INDEX('Step 4 Stage Discharge'!E$26:F$126,MATCH(C347,'Step 4 Stage Discharge'!E$26:E$126,1)+1,1)-INDEX('Step 4 Stage Discharge'!E$26:F$126,MATCH(C347,'Step 4 Stage Discharge'!E$26:E$126,1),1))</f>
        <v>0</v>
      </c>
      <c r="E347" s="219">
        <f>INDEX('Step 4 Stage Discharge'!E$26:M$126,MATCH(C347,'Step 4 Stage Discharge'!E$26:E$126,1),9)+(INDEX('Step 4 Stage Discharge'!E$26:M$126,MATCH('Step 6 Quality Check'!C347,'Step 4 Stage Discharge'!E$26:E$126,1)+1,9)-INDEX('Step 4 Stage Discharge'!E$26:M$126,MATCH('Step 6 Quality Check'!C347,'Step 4 Stage Discharge'!E$26:E$126,1),9))*('Step 6 Quality Check'!C347-INDEX('Step 4 Stage Discharge'!E$26:M$126,MATCH('Step 6 Quality Check'!C347,'Step 4 Stage Discharge'!E$26:E$126,1),1))/(INDEX('Step 4 Stage Discharge'!E$26:M$126,MATCH('Step 6 Quality Check'!C347,'Step 4 Stage Discharge'!E$26:E$126,1)+1,1)-INDEX('Step 4 Stage Discharge'!E$26:M$126,MATCH('Step 6 Quality Check'!C347,'Step 4 Stage Discharge'!E$26:E$126,1),1))</f>
        <v>4.3639431710317386E-3</v>
      </c>
      <c r="F347" s="218">
        <f t="shared" si="25"/>
        <v>0</v>
      </c>
      <c r="G347" s="218">
        <f t="shared" si="26"/>
        <v>0</v>
      </c>
    </row>
    <row r="348" spans="1:7">
      <c r="A348" s="217">
        <f t="shared" si="27"/>
        <v>1660</v>
      </c>
      <c r="B348" s="216">
        <f t="shared" si="28"/>
        <v>99.1</v>
      </c>
      <c r="C348" s="218">
        <f t="shared" si="29"/>
        <v>0</v>
      </c>
      <c r="D348" s="219">
        <f>INDEX('Step 4 Stage Discharge'!E$26:F$126,MATCH(C348,'Step 4 Stage Discharge'!E$26:E$126,1),2)+(INDEX('Step 4 Stage Discharge'!E$26:F$126,MATCH(C348,'Step 4 Stage Discharge'!E$26:E$126,1)+1,2)-INDEX('Step 4 Stage Discharge'!E$26:F$126,MATCH(C348,'Step 4 Stage Discharge'!E$26:E$126,1),2))*(C348-INDEX('Step 4 Stage Discharge'!E$26:F$126,MATCH(C348,'Step 4 Stage Discharge'!E$26:E$126,1),1))/(INDEX('Step 4 Stage Discharge'!E$26:F$126,MATCH(C348,'Step 4 Stage Discharge'!E$26:E$126,1)+1,1)-INDEX('Step 4 Stage Discharge'!E$26:F$126,MATCH(C348,'Step 4 Stage Discharge'!E$26:E$126,1),1))</f>
        <v>0</v>
      </c>
      <c r="E348" s="219">
        <f>INDEX('Step 4 Stage Discharge'!E$26:M$126,MATCH(C348,'Step 4 Stage Discharge'!E$26:E$126,1),9)+(INDEX('Step 4 Stage Discharge'!E$26:M$126,MATCH('Step 6 Quality Check'!C348,'Step 4 Stage Discharge'!E$26:E$126,1)+1,9)-INDEX('Step 4 Stage Discharge'!E$26:M$126,MATCH('Step 6 Quality Check'!C348,'Step 4 Stage Discharge'!E$26:E$126,1),9))*('Step 6 Quality Check'!C348-INDEX('Step 4 Stage Discharge'!E$26:M$126,MATCH('Step 6 Quality Check'!C348,'Step 4 Stage Discharge'!E$26:E$126,1),1))/(INDEX('Step 4 Stage Discharge'!E$26:M$126,MATCH('Step 6 Quality Check'!C348,'Step 4 Stage Discharge'!E$26:E$126,1)+1,1)-INDEX('Step 4 Stage Discharge'!E$26:M$126,MATCH('Step 6 Quality Check'!C348,'Step 4 Stage Discharge'!E$26:E$126,1),1))</f>
        <v>4.3639431710317386E-3</v>
      </c>
      <c r="F348" s="218">
        <f t="shared" si="25"/>
        <v>0</v>
      </c>
      <c r="G348" s="218">
        <f t="shared" si="26"/>
        <v>0</v>
      </c>
    </row>
    <row r="349" spans="1:7">
      <c r="A349" s="217">
        <f t="shared" si="27"/>
        <v>1665</v>
      </c>
      <c r="B349" s="216">
        <f t="shared" si="28"/>
        <v>99.1</v>
      </c>
      <c r="C349" s="218">
        <f t="shared" si="29"/>
        <v>0</v>
      </c>
      <c r="D349" s="219">
        <f>INDEX('Step 4 Stage Discharge'!E$26:F$126,MATCH(C349,'Step 4 Stage Discharge'!E$26:E$126,1),2)+(INDEX('Step 4 Stage Discharge'!E$26:F$126,MATCH(C349,'Step 4 Stage Discharge'!E$26:E$126,1)+1,2)-INDEX('Step 4 Stage Discharge'!E$26:F$126,MATCH(C349,'Step 4 Stage Discharge'!E$26:E$126,1),2))*(C349-INDEX('Step 4 Stage Discharge'!E$26:F$126,MATCH(C349,'Step 4 Stage Discharge'!E$26:E$126,1),1))/(INDEX('Step 4 Stage Discharge'!E$26:F$126,MATCH(C349,'Step 4 Stage Discharge'!E$26:E$126,1)+1,1)-INDEX('Step 4 Stage Discharge'!E$26:F$126,MATCH(C349,'Step 4 Stage Discharge'!E$26:E$126,1),1))</f>
        <v>0</v>
      </c>
      <c r="E349" s="219">
        <f>INDEX('Step 4 Stage Discharge'!E$26:M$126,MATCH(C349,'Step 4 Stage Discharge'!E$26:E$126,1),9)+(INDEX('Step 4 Stage Discharge'!E$26:M$126,MATCH('Step 6 Quality Check'!C349,'Step 4 Stage Discharge'!E$26:E$126,1)+1,9)-INDEX('Step 4 Stage Discharge'!E$26:M$126,MATCH('Step 6 Quality Check'!C349,'Step 4 Stage Discharge'!E$26:E$126,1),9))*('Step 6 Quality Check'!C349-INDEX('Step 4 Stage Discharge'!E$26:M$126,MATCH('Step 6 Quality Check'!C349,'Step 4 Stage Discharge'!E$26:E$126,1),1))/(INDEX('Step 4 Stage Discharge'!E$26:M$126,MATCH('Step 6 Quality Check'!C349,'Step 4 Stage Discharge'!E$26:E$126,1)+1,1)-INDEX('Step 4 Stage Discharge'!E$26:M$126,MATCH('Step 6 Quality Check'!C349,'Step 4 Stage Discharge'!E$26:E$126,1),1))</f>
        <v>4.3639431710317386E-3</v>
      </c>
      <c r="F349" s="218">
        <f t="shared" si="25"/>
        <v>0</v>
      </c>
      <c r="G349" s="218">
        <f t="shared" si="26"/>
        <v>0</v>
      </c>
    </row>
    <row r="350" spans="1:7">
      <c r="A350" s="217">
        <f t="shared" si="27"/>
        <v>1670</v>
      </c>
      <c r="B350" s="216">
        <f t="shared" si="28"/>
        <v>99.1</v>
      </c>
      <c r="C350" s="218">
        <f t="shared" si="29"/>
        <v>0</v>
      </c>
      <c r="D350" s="219">
        <f>INDEX('Step 4 Stage Discharge'!E$26:F$126,MATCH(C350,'Step 4 Stage Discharge'!E$26:E$126,1),2)+(INDEX('Step 4 Stage Discharge'!E$26:F$126,MATCH(C350,'Step 4 Stage Discharge'!E$26:E$126,1)+1,2)-INDEX('Step 4 Stage Discharge'!E$26:F$126,MATCH(C350,'Step 4 Stage Discharge'!E$26:E$126,1),2))*(C350-INDEX('Step 4 Stage Discharge'!E$26:F$126,MATCH(C350,'Step 4 Stage Discharge'!E$26:E$126,1),1))/(INDEX('Step 4 Stage Discharge'!E$26:F$126,MATCH(C350,'Step 4 Stage Discharge'!E$26:E$126,1)+1,1)-INDEX('Step 4 Stage Discharge'!E$26:F$126,MATCH(C350,'Step 4 Stage Discharge'!E$26:E$126,1),1))</f>
        <v>0</v>
      </c>
      <c r="E350" s="219">
        <f>INDEX('Step 4 Stage Discharge'!E$26:M$126,MATCH(C350,'Step 4 Stage Discharge'!E$26:E$126,1),9)+(INDEX('Step 4 Stage Discharge'!E$26:M$126,MATCH('Step 6 Quality Check'!C350,'Step 4 Stage Discharge'!E$26:E$126,1)+1,9)-INDEX('Step 4 Stage Discharge'!E$26:M$126,MATCH('Step 6 Quality Check'!C350,'Step 4 Stage Discharge'!E$26:E$126,1),9))*('Step 6 Quality Check'!C350-INDEX('Step 4 Stage Discharge'!E$26:M$126,MATCH('Step 6 Quality Check'!C350,'Step 4 Stage Discharge'!E$26:E$126,1),1))/(INDEX('Step 4 Stage Discharge'!E$26:M$126,MATCH('Step 6 Quality Check'!C350,'Step 4 Stage Discharge'!E$26:E$126,1)+1,1)-INDEX('Step 4 Stage Discharge'!E$26:M$126,MATCH('Step 6 Quality Check'!C350,'Step 4 Stage Discharge'!E$26:E$126,1),1))</f>
        <v>4.3639431710317386E-3</v>
      </c>
      <c r="F350" s="218">
        <f t="shared" si="25"/>
        <v>0</v>
      </c>
      <c r="G350" s="218">
        <f t="shared" si="26"/>
        <v>0</v>
      </c>
    </row>
    <row r="351" spans="1:7">
      <c r="A351" s="217">
        <f t="shared" si="27"/>
        <v>1675</v>
      </c>
      <c r="B351" s="216">
        <f t="shared" si="28"/>
        <v>99.1</v>
      </c>
      <c r="C351" s="218">
        <f t="shared" si="29"/>
        <v>0</v>
      </c>
      <c r="D351" s="219">
        <f>INDEX('Step 4 Stage Discharge'!E$26:F$126,MATCH(C351,'Step 4 Stage Discharge'!E$26:E$126,1),2)+(INDEX('Step 4 Stage Discharge'!E$26:F$126,MATCH(C351,'Step 4 Stage Discharge'!E$26:E$126,1)+1,2)-INDEX('Step 4 Stage Discharge'!E$26:F$126,MATCH(C351,'Step 4 Stage Discharge'!E$26:E$126,1),2))*(C351-INDEX('Step 4 Stage Discharge'!E$26:F$126,MATCH(C351,'Step 4 Stage Discharge'!E$26:E$126,1),1))/(INDEX('Step 4 Stage Discharge'!E$26:F$126,MATCH(C351,'Step 4 Stage Discharge'!E$26:E$126,1)+1,1)-INDEX('Step 4 Stage Discharge'!E$26:F$126,MATCH(C351,'Step 4 Stage Discharge'!E$26:E$126,1),1))</f>
        <v>0</v>
      </c>
      <c r="E351" s="219">
        <f>INDEX('Step 4 Stage Discharge'!E$26:M$126,MATCH(C351,'Step 4 Stage Discharge'!E$26:E$126,1),9)+(INDEX('Step 4 Stage Discharge'!E$26:M$126,MATCH('Step 6 Quality Check'!C351,'Step 4 Stage Discharge'!E$26:E$126,1)+1,9)-INDEX('Step 4 Stage Discharge'!E$26:M$126,MATCH('Step 6 Quality Check'!C351,'Step 4 Stage Discharge'!E$26:E$126,1),9))*('Step 6 Quality Check'!C351-INDEX('Step 4 Stage Discharge'!E$26:M$126,MATCH('Step 6 Quality Check'!C351,'Step 4 Stage Discharge'!E$26:E$126,1),1))/(INDEX('Step 4 Stage Discharge'!E$26:M$126,MATCH('Step 6 Quality Check'!C351,'Step 4 Stage Discharge'!E$26:E$126,1)+1,1)-INDEX('Step 4 Stage Discharge'!E$26:M$126,MATCH('Step 6 Quality Check'!C351,'Step 4 Stage Discharge'!E$26:E$126,1),1))</f>
        <v>4.3639431710317386E-3</v>
      </c>
      <c r="F351" s="218">
        <f t="shared" si="25"/>
        <v>0</v>
      </c>
      <c r="G351" s="218">
        <f t="shared" si="26"/>
        <v>0</v>
      </c>
    </row>
    <row r="352" spans="1:7">
      <c r="A352" s="217">
        <f t="shared" si="27"/>
        <v>1680</v>
      </c>
      <c r="B352" s="216">
        <f t="shared" si="28"/>
        <v>99.1</v>
      </c>
      <c r="C352" s="218">
        <f t="shared" si="29"/>
        <v>0</v>
      </c>
      <c r="D352" s="219">
        <f>INDEX('Step 4 Stage Discharge'!E$26:F$126,MATCH(C352,'Step 4 Stage Discharge'!E$26:E$126,1),2)+(INDEX('Step 4 Stage Discharge'!E$26:F$126,MATCH(C352,'Step 4 Stage Discharge'!E$26:E$126,1)+1,2)-INDEX('Step 4 Stage Discharge'!E$26:F$126,MATCH(C352,'Step 4 Stage Discharge'!E$26:E$126,1),2))*(C352-INDEX('Step 4 Stage Discharge'!E$26:F$126,MATCH(C352,'Step 4 Stage Discharge'!E$26:E$126,1),1))/(INDEX('Step 4 Stage Discharge'!E$26:F$126,MATCH(C352,'Step 4 Stage Discharge'!E$26:E$126,1)+1,1)-INDEX('Step 4 Stage Discharge'!E$26:F$126,MATCH(C352,'Step 4 Stage Discharge'!E$26:E$126,1),1))</f>
        <v>0</v>
      </c>
      <c r="E352" s="219">
        <f>INDEX('Step 4 Stage Discharge'!E$26:M$126,MATCH(C352,'Step 4 Stage Discharge'!E$26:E$126,1),9)+(INDEX('Step 4 Stage Discharge'!E$26:M$126,MATCH('Step 6 Quality Check'!C352,'Step 4 Stage Discharge'!E$26:E$126,1)+1,9)-INDEX('Step 4 Stage Discharge'!E$26:M$126,MATCH('Step 6 Quality Check'!C352,'Step 4 Stage Discharge'!E$26:E$126,1),9))*('Step 6 Quality Check'!C352-INDEX('Step 4 Stage Discharge'!E$26:M$126,MATCH('Step 6 Quality Check'!C352,'Step 4 Stage Discharge'!E$26:E$126,1),1))/(INDEX('Step 4 Stage Discharge'!E$26:M$126,MATCH('Step 6 Quality Check'!C352,'Step 4 Stage Discharge'!E$26:E$126,1)+1,1)-INDEX('Step 4 Stage Discharge'!E$26:M$126,MATCH('Step 6 Quality Check'!C352,'Step 4 Stage Discharge'!E$26:E$126,1),1))</f>
        <v>4.3639431710317386E-3</v>
      </c>
      <c r="F352" s="218">
        <f t="shared" si="25"/>
        <v>0</v>
      </c>
      <c r="G352" s="218">
        <f t="shared" si="26"/>
        <v>0</v>
      </c>
    </row>
    <row r="353" spans="1:7">
      <c r="A353" s="217">
        <f t="shared" si="27"/>
        <v>1685</v>
      </c>
      <c r="B353" s="216">
        <f t="shared" si="28"/>
        <v>99.1</v>
      </c>
      <c r="C353" s="218">
        <f t="shared" si="29"/>
        <v>0</v>
      </c>
      <c r="D353" s="219">
        <f>INDEX('Step 4 Stage Discharge'!E$26:F$126,MATCH(C353,'Step 4 Stage Discharge'!E$26:E$126,1),2)+(INDEX('Step 4 Stage Discharge'!E$26:F$126,MATCH(C353,'Step 4 Stage Discharge'!E$26:E$126,1)+1,2)-INDEX('Step 4 Stage Discharge'!E$26:F$126,MATCH(C353,'Step 4 Stage Discharge'!E$26:E$126,1),2))*(C353-INDEX('Step 4 Stage Discharge'!E$26:F$126,MATCH(C353,'Step 4 Stage Discharge'!E$26:E$126,1),1))/(INDEX('Step 4 Stage Discharge'!E$26:F$126,MATCH(C353,'Step 4 Stage Discharge'!E$26:E$126,1)+1,1)-INDEX('Step 4 Stage Discharge'!E$26:F$126,MATCH(C353,'Step 4 Stage Discharge'!E$26:E$126,1),1))</f>
        <v>0</v>
      </c>
      <c r="E353" s="219">
        <f>INDEX('Step 4 Stage Discharge'!E$26:M$126,MATCH(C353,'Step 4 Stage Discharge'!E$26:E$126,1),9)+(INDEX('Step 4 Stage Discharge'!E$26:M$126,MATCH('Step 6 Quality Check'!C353,'Step 4 Stage Discharge'!E$26:E$126,1)+1,9)-INDEX('Step 4 Stage Discharge'!E$26:M$126,MATCH('Step 6 Quality Check'!C353,'Step 4 Stage Discharge'!E$26:E$126,1),9))*('Step 6 Quality Check'!C353-INDEX('Step 4 Stage Discharge'!E$26:M$126,MATCH('Step 6 Quality Check'!C353,'Step 4 Stage Discharge'!E$26:E$126,1),1))/(INDEX('Step 4 Stage Discharge'!E$26:M$126,MATCH('Step 6 Quality Check'!C353,'Step 4 Stage Discharge'!E$26:E$126,1)+1,1)-INDEX('Step 4 Stage Discharge'!E$26:M$126,MATCH('Step 6 Quality Check'!C353,'Step 4 Stage Discharge'!E$26:E$126,1),1))</f>
        <v>4.3639431710317386E-3</v>
      </c>
      <c r="F353" s="218">
        <f t="shared" si="25"/>
        <v>0</v>
      </c>
      <c r="G353" s="218">
        <f t="shared" si="26"/>
        <v>0</v>
      </c>
    </row>
    <row r="354" spans="1:7">
      <c r="A354" s="217">
        <f t="shared" si="27"/>
        <v>1690</v>
      </c>
      <c r="B354" s="216">
        <f t="shared" si="28"/>
        <v>99.1</v>
      </c>
      <c r="C354" s="218">
        <f t="shared" si="29"/>
        <v>0</v>
      </c>
      <c r="D354" s="219">
        <f>INDEX('Step 4 Stage Discharge'!E$26:F$126,MATCH(C354,'Step 4 Stage Discharge'!E$26:E$126,1),2)+(INDEX('Step 4 Stage Discharge'!E$26:F$126,MATCH(C354,'Step 4 Stage Discharge'!E$26:E$126,1)+1,2)-INDEX('Step 4 Stage Discharge'!E$26:F$126,MATCH(C354,'Step 4 Stage Discharge'!E$26:E$126,1),2))*(C354-INDEX('Step 4 Stage Discharge'!E$26:F$126,MATCH(C354,'Step 4 Stage Discharge'!E$26:E$126,1),1))/(INDEX('Step 4 Stage Discharge'!E$26:F$126,MATCH(C354,'Step 4 Stage Discharge'!E$26:E$126,1)+1,1)-INDEX('Step 4 Stage Discharge'!E$26:F$126,MATCH(C354,'Step 4 Stage Discharge'!E$26:E$126,1),1))</f>
        <v>0</v>
      </c>
      <c r="E354" s="219">
        <f>INDEX('Step 4 Stage Discharge'!E$26:M$126,MATCH(C354,'Step 4 Stage Discharge'!E$26:E$126,1),9)+(INDEX('Step 4 Stage Discharge'!E$26:M$126,MATCH('Step 6 Quality Check'!C354,'Step 4 Stage Discharge'!E$26:E$126,1)+1,9)-INDEX('Step 4 Stage Discharge'!E$26:M$126,MATCH('Step 6 Quality Check'!C354,'Step 4 Stage Discharge'!E$26:E$126,1),9))*('Step 6 Quality Check'!C354-INDEX('Step 4 Stage Discharge'!E$26:M$126,MATCH('Step 6 Quality Check'!C354,'Step 4 Stage Discharge'!E$26:E$126,1),1))/(INDEX('Step 4 Stage Discharge'!E$26:M$126,MATCH('Step 6 Quality Check'!C354,'Step 4 Stage Discharge'!E$26:E$126,1)+1,1)-INDEX('Step 4 Stage Discharge'!E$26:M$126,MATCH('Step 6 Quality Check'!C354,'Step 4 Stage Discharge'!E$26:E$126,1),1))</f>
        <v>4.3639431710317386E-3</v>
      </c>
      <c r="F354" s="218">
        <f t="shared" si="25"/>
        <v>0</v>
      </c>
      <c r="G354" s="218">
        <f t="shared" si="26"/>
        <v>0</v>
      </c>
    </row>
    <row r="355" spans="1:7">
      <c r="A355" s="217">
        <f t="shared" si="27"/>
        <v>1695</v>
      </c>
      <c r="B355" s="216">
        <f t="shared" si="28"/>
        <v>99.1</v>
      </c>
      <c r="C355" s="218">
        <f t="shared" si="29"/>
        <v>0</v>
      </c>
      <c r="D355" s="219">
        <f>INDEX('Step 4 Stage Discharge'!E$26:F$126,MATCH(C355,'Step 4 Stage Discharge'!E$26:E$126,1),2)+(INDEX('Step 4 Stage Discharge'!E$26:F$126,MATCH(C355,'Step 4 Stage Discharge'!E$26:E$126,1)+1,2)-INDEX('Step 4 Stage Discharge'!E$26:F$126,MATCH(C355,'Step 4 Stage Discharge'!E$26:E$126,1),2))*(C355-INDEX('Step 4 Stage Discharge'!E$26:F$126,MATCH(C355,'Step 4 Stage Discharge'!E$26:E$126,1),1))/(INDEX('Step 4 Stage Discharge'!E$26:F$126,MATCH(C355,'Step 4 Stage Discharge'!E$26:E$126,1)+1,1)-INDEX('Step 4 Stage Discharge'!E$26:F$126,MATCH(C355,'Step 4 Stage Discharge'!E$26:E$126,1),1))</f>
        <v>0</v>
      </c>
      <c r="E355" s="219">
        <f>INDEX('Step 4 Stage Discharge'!E$26:M$126,MATCH(C355,'Step 4 Stage Discharge'!E$26:E$126,1),9)+(INDEX('Step 4 Stage Discharge'!E$26:M$126,MATCH('Step 6 Quality Check'!C355,'Step 4 Stage Discharge'!E$26:E$126,1)+1,9)-INDEX('Step 4 Stage Discharge'!E$26:M$126,MATCH('Step 6 Quality Check'!C355,'Step 4 Stage Discharge'!E$26:E$126,1),9))*('Step 6 Quality Check'!C355-INDEX('Step 4 Stage Discharge'!E$26:M$126,MATCH('Step 6 Quality Check'!C355,'Step 4 Stage Discharge'!E$26:E$126,1),1))/(INDEX('Step 4 Stage Discharge'!E$26:M$126,MATCH('Step 6 Quality Check'!C355,'Step 4 Stage Discharge'!E$26:E$126,1)+1,1)-INDEX('Step 4 Stage Discharge'!E$26:M$126,MATCH('Step 6 Quality Check'!C355,'Step 4 Stage Discharge'!E$26:E$126,1),1))</f>
        <v>4.3639431710317386E-3</v>
      </c>
      <c r="F355" s="218">
        <f t="shared" si="25"/>
        <v>0</v>
      </c>
      <c r="G355" s="218">
        <f t="shared" si="26"/>
        <v>0</v>
      </c>
    </row>
    <row r="356" spans="1:7">
      <c r="A356" s="217">
        <f t="shared" si="27"/>
        <v>1700</v>
      </c>
      <c r="B356" s="216">
        <f t="shared" si="28"/>
        <v>99.1</v>
      </c>
      <c r="C356" s="218">
        <f t="shared" si="29"/>
        <v>0</v>
      </c>
      <c r="D356" s="219">
        <f>INDEX('Step 4 Stage Discharge'!E$26:F$126,MATCH(C356,'Step 4 Stage Discharge'!E$26:E$126,1),2)+(INDEX('Step 4 Stage Discharge'!E$26:F$126,MATCH(C356,'Step 4 Stage Discharge'!E$26:E$126,1)+1,2)-INDEX('Step 4 Stage Discharge'!E$26:F$126,MATCH(C356,'Step 4 Stage Discharge'!E$26:E$126,1),2))*(C356-INDEX('Step 4 Stage Discharge'!E$26:F$126,MATCH(C356,'Step 4 Stage Discharge'!E$26:E$126,1),1))/(INDEX('Step 4 Stage Discharge'!E$26:F$126,MATCH(C356,'Step 4 Stage Discharge'!E$26:E$126,1)+1,1)-INDEX('Step 4 Stage Discharge'!E$26:F$126,MATCH(C356,'Step 4 Stage Discharge'!E$26:E$126,1),1))</f>
        <v>0</v>
      </c>
      <c r="E356" s="219">
        <f>INDEX('Step 4 Stage Discharge'!E$26:M$126,MATCH(C356,'Step 4 Stage Discharge'!E$26:E$126,1),9)+(INDEX('Step 4 Stage Discharge'!E$26:M$126,MATCH('Step 6 Quality Check'!C356,'Step 4 Stage Discharge'!E$26:E$126,1)+1,9)-INDEX('Step 4 Stage Discharge'!E$26:M$126,MATCH('Step 6 Quality Check'!C356,'Step 4 Stage Discharge'!E$26:E$126,1),9))*('Step 6 Quality Check'!C356-INDEX('Step 4 Stage Discharge'!E$26:M$126,MATCH('Step 6 Quality Check'!C356,'Step 4 Stage Discharge'!E$26:E$126,1),1))/(INDEX('Step 4 Stage Discharge'!E$26:M$126,MATCH('Step 6 Quality Check'!C356,'Step 4 Stage Discharge'!E$26:E$126,1)+1,1)-INDEX('Step 4 Stage Discharge'!E$26:M$126,MATCH('Step 6 Quality Check'!C356,'Step 4 Stage Discharge'!E$26:E$126,1),1))</f>
        <v>4.3639431710317386E-3</v>
      </c>
      <c r="F356" s="218">
        <f t="shared" si="25"/>
        <v>0</v>
      </c>
      <c r="G356" s="218">
        <f t="shared" si="26"/>
        <v>0</v>
      </c>
    </row>
    <row r="357" spans="1:7">
      <c r="A357" s="217">
        <f t="shared" si="27"/>
        <v>1705</v>
      </c>
      <c r="B357" s="216">
        <f t="shared" si="28"/>
        <v>99.1</v>
      </c>
      <c r="C357" s="218">
        <f t="shared" si="29"/>
        <v>0</v>
      </c>
      <c r="D357" s="219">
        <f>INDEX('Step 4 Stage Discharge'!E$26:F$126,MATCH(C357,'Step 4 Stage Discharge'!E$26:E$126,1),2)+(INDEX('Step 4 Stage Discharge'!E$26:F$126,MATCH(C357,'Step 4 Stage Discharge'!E$26:E$126,1)+1,2)-INDEX('Step 4 Stage Discharge'!E$26:F$126,MATCH(C357,'Step 4 Stage Discharge'!E$26:E$126,1),2))*(C357-INDEX('Step 4 Stage Discharge'!E$26:F$126,MATCH(C357,'Step 4 Stage Discharge'!E$26:E$126,1),1))/(INDEX('Step 4 Stage Discharge'!E$26:F$126,MATCH(C357,'Step 4 Stage Discharge'!E$26:E$126,1)+1,1)-INDEX('Step 4 Stage Discharge'!E$26:F$126,MATCH(C357,'Step 4 Stage Discharge'!E$26:E$126,1),1))</f>
        <v>0</v>
      </c>
      <c r="E357" s="219">
        <f>INDEX('Step 4 Stage Discharge'!E$26:M$126,MATCH(C357,'Step 4 Stage Discharge'!E$26:E$126,1),9)+(INDEX('Step 4 Stage Discharge'!E$26:M$126,MATCH('Step 6 Quality Check'!C357,'Step 4 Stage Discharge'!E$26:E$126,1)+1,9)-INDEX('Step 4 Stage Discharge'!E$26:M$126,MATCH('Step 6 Quality Check'!C357,'Step 4 Stage Discharge'!E$26:E$126,1),9))*('Step 6 Quality Check'!C357-INDEX('Step 4 Stage Discharge'!E$26:M$126,MATCH('Step 6 Quality Check'!C357,'Step 4 Stage Discharge'!E$26:E$126,1),1))/(INDEX('Step 4 Stage Discharge'!E$26:M$126,MATCH('Step 6 Quality Check'!C357,'Step 4 Stage Discharge'!E$26:E$126,1)+1,1)-INDEX('Step 4 Stage Discharge'!E$26:M$126,MATCH('Step 6 Quality Check'!C357,'Step 4 Stage Discharge'!E$26:E$126,1),1))</f>
        <v>4.3639431710317386E-3</v>
      </c>
      <c r="F357" s="218">
        <f t="shared" si="25"/>
        <v>0</v>
      </c>
      <c r="G357" s="218">
        <f t="shared" si="26"/>
        <v>0</v>
      </c>
    </row>
    <row r="358" spans="1:7">
      <c r="A358" s="217">
        <f t="shared" si="27"/>
        <v>1710</v>
      </c>
      <c r="B358" s="216">
        <f t="shared" si="28"/>
        <v>99.1</v>
      </c>
      <c r="C358" s="218">
        <f t="shared" si="29"/>
        <v>0</v>
      </c>
      <c r="D358" s="219">
        <f>INDEX('Step 4 Stage Discharge'!E$26:F$126,MATCH(C358,'Step 4 Stage Discharge'!E$26:E$126,1),2)+(INDEX('Step 4 Stage Discharge'!E$26:F$126,MATCH(C358,'Step 4 Stage Discharge'!E$26:E$126,1)+1,2)-INDEX('Step 4 Stage Discharge'!E$26:F$126,MATCH(C358,'Step 4 Stage Discharge'!E$26:E$126,1),2))*(C358-INDEX('Step 4 Stage Discharge'!E$26:F$126,MATCH(C358,'Step 4 Stage Discharge'!E$26:E$126,1),1))/(INDEX('Step 4 Stage Discharge'!E$26:F$126,MATCH(C358,'Step 4 Stage Discharge'!E$26:E$126,1)+1,1)-INDEX('Step 4 Stage Discharge'!E$26:F$126,MATCH(C358,'Step 4 Stage Discharge'!E$26:E$126,1),1))</f>
        <v>0</v>
      </c>
      <c r="E358" s="219">
        <f>INDEX('Step 4 Stage Discharge'!E$26:M$126,MATCH(C358,'Step 4 Stage Discharge'!E$26:E$126,1),9)+(INDEX('Step 4 Stage Discharge'!E$26:M$126,MATCH('Step 6 Quality Check'!C358,'Step 4 Stage Discharge'!E$26:E$126,1)+1,9)-INDEX('Step 4 Stage Discharge'!E$26:M$126,MATCH('Step 6 Quality Check'!C358,'Step 4 Stage Discharge'!E$26:E$126,1),9))*('Step 6 Quality Check'!C358-INDEX('Step 4 Stage Discharge'!E$26:M$126,MATCH('Step 6 Quality Check'!C358,'Step 4 Stage Discharge'!E$26:E$126,1),1))/(INDEX('Step 4 Stage Discharge'!E$26:M$126,MATCH('Step 6 Quality Check'!C358,'Step 4 Stage Discharge'!E$26:E$126,1)+1,1)-INDEX('Step 4 Stage Discharge'!E$26:M$126,MATCH('Step 6 Quality Check'!C358,'Step 4 Stage Discharge'!E$26:E$126,1),1))</f>
        <v>4.3639431710317386E-3</v>
      </c>
      <c r="F358" s="218">
        <f t="shared" si="25"/>
        <v>0</v>
      </c>
      <c r="G358" s="218">
        <f t="shared" si="26"/>
        <v>0</v>
      </c>
    </row>
    <row r="359" spans="1:7">
      <c r="A359" s="217">
        <f t="shared" si="27"/>
        <v>1715</v>
      </c>
      <c r="B359" s="216">
        <f t="shared" si="28"/>
        <v>99.1</v>
      </c>
      <c r="C359" s="218">
        <f t="shared" si="29"/>
        <v>0</v>
      </c>
      <c r="D359" s="219">
        <f>INDEX('Step 4 Stage Discharge'!E$26:F$126,MATCH(C359,'Step 4 Stage Discharge'!E$26:E$126,1),2)+(INDEX('Step 4 Stage Discharge'!E$26:F$126,MATCH(C359,'Step 4 Stage Discharge'!E$26:E$126,1)+1,2)-INDEX('Step 4 Stage Discharge'!E$26:F$126,MATCH(C359,'Step 4 Stage Discharge'!E$26:E$126,1),2))*(C359-INDEX('Step 4 Stage Discharge'!E$26:F$126,MATCH(C359,'Step 4 Stage Discharge'!E$26:E$126,1),1))/(INDEX('Step 4 Stage Discharge'!E$26:F$126,MATCH(C359,'Step 4 Stage Discharge'!E$26:E$126,1)+1,1)-INDEX('Step 4 Stage Discharge'!E$26:F$126,MATCH(C359,'Step 4 Stage Discharge'!E$26:E$126,1),1))</f>
        <v>0</v>
      </c>
      <c r="E359" s="219">
        <f>INDEX('Step 4 Stage Discharge'!E$26:M$126,MATCH(C359,'Step 4 Stage Discharge'!E$26:E$126,1),9)+(INDEX('Step 4 Stage Discharge'!E$26:M$126,MATCH('Step 6 Quality Check'!C359,'Step 4 Stage Discharge'!E$26:E$126,1)+1,9)-INDEX('Step 4 Stage Discharge'!E$26:M$126,MATCH('Step 6 Quality Check'!C359,'Step 4 Stage Discharge'!E$26:E$126,1),9))*('Step 6 Quality Check'!C359-INDEX('Step 4 Stage Discharge'!E$26:M$126,MATCH('Step 6 Quality Check'!C359,'Step 4 Stage Discharge'!E$26:E$126,1),1))/(INDEX('Step 4 Stage Discharge'!E$26:M$126,MATCH('Step 6 Quality Check'!C359,'Step 4 Stage Discharge'!E$26:E$126,1)+1,1)-INDEX('Step 4 Stage Discharge'!E$26:M$126,MATCH('Step 6 Quality Check'!C359,'Step 4 Stage Discharge'!E$26:E$126,1),1))</f>
        <v>4.3639431710317386E-3</v>
      </c>
      <c r="F359" s="218">
        <f t="shared" si="25"/>
        <v>0</v>
      </c>
      <c r="G359" s="218">
        <f t="shared" si="26"/>
        <v>0</v>
      </c>
    </row>
    <row r="360" spans="1:7">
      <c r="A360" s="217">
        <f t="shared" si="27"/>
        <v>1720</v>
      </c>
      <c r="B360" s="216">
        <f t="shared" si="28"/>
        <v>99.1</v>
      </c>
      <c r="C360" s="218">
        <f t="shared" si="29"/>
        <v>0</v>
      </c>
      <c r="D360" s="219">
        <f>INDEX('Step 4 Stage Discharge'!E$26:F$126,MATCH(C360,'Step 4 Stage Discharge'!E$26:E$126,1),2)+(INDEX('Step 4 Stage Discharge'!E$26:F$126,MATCH(C360,'Step 4 Stage Discharge'!E$26:E$126,1)+1,2)-INDEX('Step 4 Stage Discharge'!E$26:F$126,MATCH(C360,'Step 4 Stage Discharge'!E$26:E$126,1),2))*(C360-INDEX('Step 4 Stage Discharge'!E$26:F$126,MATCH(C360,'Step 4 Stage Discharge'!E$26:E$126,1),1))/(INDEX('Step 4 Stage Discharge'!E$26:F$126,MATCH(C360,'Step 4 Stage Discharge'!E$26:E$126,1)+1,1)-INDEX('Step 4 Stage Discharge'!E$26:F$126,MATCH(C360,'Step 4 Stage Discharge'!E$26:E$126,1),1))</f>
        <v>0</v>
      </c>
      <c r="E360" s="219">
        <f>INDEX('Step 4 Stage Discharge'!E$26:M$126,MATCH(C360,'Step 4 Stage Discharge'!E$26:E$126,1),9)+(INDEX('Step 4 Stage Discharge'!E$26:M$126,MATCH('Step 6 Quality Check'!C360,'Step 4 Stage Discharge'!E$26:E$126,1)+1,9)-INDEX('Step 4 Stage Discharge'!E$26:M$126,MATCH('Step 6 Quality Check'!C360,'Step 4 Stage Discharge'!E$26:E$126,1),9))*('Step 6 Quality Check'!C360-INDEX('Step 4 Stage Discharge'!E$26:M$126,MATCH('Step 6 Quality Check'!C360,'Step 4 Stage Discharge'!E$26:E$126,1),1))/(INDEX('Step 4 Stage Discharge'!E$26:M$126,MATCH('Step 6 Quality Check'!C360,'Step 4 Stage Discharge'!E$26:E$126,1)+1,1)-INDEX('Step 4 Stage Discharge'!E$26:M$126,MATCH('Step 6 Quality Check'!C360,'Step 4 Stage Discharge'!E$26:E$126,1),1))</f>
        <v>4.3639431710317386E-3</v>
      </c>
      <c r="F360" s="218">
        <f t="shared" si="25"/>
        <v>0</v>
      </c>
      <c r="G360" s="218">
        <f t="shared" si="26"/>
        <v>0</v>
      </c>
    </row>
    <row r="361" spans="1:7">
      <c r="A361" s="217">
        <f t="shared" si="27"/>
        <v>1725</v>
      </c>
      <c r="B361" s="216">
        <f t="shared" si="28"/>
        <v>99.1</v>
      </c>
      <c r="C361" s="218">
        <f t="shared" si="29"/>
        <v>0</v>
      </c>
      <c r="D361" s="219">
        <f>INDEX('Step 4 Stage Discharge'!E$26:F$126,MATCH(C361,'Step 4 Stage Discharge'!E$26:E$126,1),2)+(INDEX('Step 4 Stage Discharge'!E$26:F$126,MATCH(C361,'Step 4 Stage Discharge'!E$26:E$126,1)+1,2)-INDEX('Step 4 Stage Discharge'!E$26:F$126,MATCH(C361,'Step 4 Stage Discharge'!E$26:E$126,1),2))*(C361-INDEX('Step 4 Stage Discharge'!E$26:F$126,MATCH(C361,'Step 4 Stage Discharge'!E$26:E$126,1),1))/(INDEX('Step 4 Stage Discharge'!E$26:F$126,MATCH(C361,'Step 4 Stage Discharge'!E$26:E$126,1)+1,1)-INDEX('Step 4 Stage Discharge'!E$26:F$126,MATCH(C361,'Step 4 Stage Discharge'!E$26:E$126,1),1))</f>
        <v>0</v>
      </c>
      <c r="E361" s="219">
        <f>INDEX('Step 4 Stage Discharge'!E$26:M$126,MATCH(C361,'Step 4 Stage Discharge'!E$26:E$126,1),9)+(INDEX('Step 4 Stage Discharge'!E$26:M$126,MATCH('Step 6 Quality Check'!C361,'Step 4 Stage Discharge'!E$26:E$126,1)+1,9)-INDEX('Step 4 Stage Discharge'!E$26:M$126,MATCH('Step 6 Quality Check'!C361,'Step 4 Stage Discharge'!E$26:E$126,1),9))*('Step 6 Quality Check'!C361-INDEX('Step 4 Stage Discharge'!E$26:M$126,MATCH('Step 6 Quality Check'!C361,'Step 4 Stage Discharge'!E$26:E$126,1),1))/(INDEX('Step 4 Stage Discharge'!E$26:M$126,MATCH('Step 6 Quality Check'!C361,'Step 4 Stage Discharge'!E$26:E$126,1)+1,1)-INDEX('Step 4 Stage Discharge'!E$26:M$126,MATCH('Step 6 Quality Check'!C361,'Step 4 Stage Discharge'!E$26:E$126,1),1))</f>
        <v>4.3639431710317386E-3</v>
      </c>
      <c r="F361" s="218">
        <f t="shared" si="25"/>
        <v>0</v>
      </c>
      <c r="G361" s="218">
        <f t="shared" si="26"/>
        <v>0</v>
      </c>
    </row>
    <row r="362" spans="1:7">
      <c r="A362" s="217">
        <f t="shared" si="27"/>
        <v>1730</v>
      </c>
      <c r="B362" s="216">
        <f t="shared" si="28"/>
        <v>99.1</v>
      </c>
      <c r="C362" s="218">
        <f t="shared" si="29"/>
        <v>0</v>
      </c>
      <c r="D362" s="219">
        <f>INDEX('Step 4 Stage Discharge'!E$26:F$126,MATCH(C362,'Step 4 Stage Discharge'!E$26:E$126,1),2)+(INDEX('Step 4 Stage Discharge'!E$26:F$126,MATCH(C362,'Step 4 Stage Discharge'!E$26:E$126,1)+1,2)-INDEX('Step 4 Stage Discharge'!E$26:F$126,MATCH(C362,'Step 4 Stage Discharge'!E$26:E$126,1),2))*(C362-INDEX('Step 4 Stage Discharge'!E$26:F$126,MATCH(C362,'Step 4 Stage Discharge'!E$26:E$126,1),1))/(INDEX('Step 4 Stage Discharge'!E$26:F$126,MATCH(C362,'Step 4 Stage Discharge'!E$26:E$126,1)+1,1)-INDEX('Step 4 Stage Discharge'!E$26:F$126,MATCH(C362,'Step 4 Stage Discharge'!E$26:E$126,1),1))</f>
        <v>0</v>
      </c>
      <c r="E362" s="219">
        <f>INDEX('Step 4 Stage Discharge'!E$26:M$126,MATCH(C362,'Step 4 Stage Discharge'!E$26:E$126,1),9)+(INDEX('Step 4 Stage Discharge'!E$26:M$126,MATCH('Step 6 Quality Check'!C362,'Step 4 Stage Discharge'!E$26:E$126,1)+1,9)-INDEX('Step 4 Stage Discharge'!E$26:M$126,MATCH('Step 6 Quality Check'!C362,'Step 4 Stage Discharge'!E$26:E$126,1),9))*('Step 6 Quality Check'!C362-INDEX('Step 4 Stage Discharge'!E$26:M$126,MATCH('Step 6 Quality Check'!C362,'Step 4 Stage Discharge'!E$26:E$126,1),1))/(INDEX('Step 4 Stage Discharge'!E$26:M$126,MATCH('Step 6 Quality Check'!C362,'Step 4 Stage Discharge'!E$26:E$126,1)+1,1)-INDEX('Step 4 Stage Discharge'!E$26:M$126,MATCH('Step 6 Quality Check'!C362,'Step 4 Stage Discharge'!E$26:E$126,1),1))</f>
        <v>4.3639431710317386E-3</v>
      </c>
      <c r="F362" s="218">
        <f t="shared" si="25"/>
        <v>0</v>
      </c>
      <c r="G362" s="218">
        <f t="shared" si="26"/>
        <v>0</v>
      </c>
    </row>
    <row r="363" spans="1:7">
      <c r="A363" s="217">
        <f t="shared" si="27"/>
        <v>1735</v>
      </c>
      <c r="B363" s="216">
        <f t="shared" si="28"/>
        <v>99.1</v>
      </c>
      <c r="C363" s="218">
        <f t="shared" si="29"/>
        <v>0</v>
      </c>
      <c r="D363" s="219">
        <f>INDEX('Step 4 Stage Discharge'!E$26:F$126,MATCH(C363,'Step 4 Stage Discharge'!E$26:E$126,1),2)+(INDEX('Step 4 Stage Discharge'!E$26:F$126,MATCH(C363,'Step 4 Stage Discharge'!E$26:E$126,1)+1,2)-INDEX('Step 4 Stage Discharge'!E$26:F$126,MATCH(C363,'Step 4 Stage Discharge'!E$26:E$126,1),2))*(C363-INDEX('Step 4 Stage Discharge'!E$26:F$126,MATCH(C363,'Step 4 Stage Discharge'!E$26:E$126,1),1))/(INDEX('Step 4 Stage Discharge'!E$26:F$126,MATCH(C363,'Step 4 Stage Discharge'!E$26:E$126,1)+1,1)-INDEX('Step 4 Stage Discharge'!E$26:F$126,MATCH(C363,'Step 4 Stage Discharge'!E$26:E$126,1),1))</f>
        <v>0</v>
      </c>
      <c r="E363" s="219">
        <f>INDEX('Step 4 Stage Discharge'!E$26:M$126,MATCH(C363,'Step 4 Stage Discharge'!E$26:E$126,1),9)+(INDEX('Step 4 Stage Discharge'!E$26:M$126,MATCH('Step 6 Quality Check'!C363,'Step 4 Stage Discharge'!E$26:E$126,1)+1,9)-INDEX('Step 4 Stage Discharge'!E$26:M$126,MATCH('Step 6 Quality Check'!C363,'Step 4 Stage Discharge'!E$26:E$126,1),9))*('Step 6 Quality Check'!C363-INDEX('Step 4 Stage Discharge'!E$26:M$126,MATCH('Step 6 Quality Check'!C363,'Step 4 Stage Discharge'!E$26:E$126,1),1))/(INDEX('Step 4 Stage Discharge'!E$26:M$126,MATCH('Step 6 Quality Check'!C363,'Step 4 Stage Discharge'!E$26:E$126,1)+1,1)-INDEX('Step 4 Stage Discharge'!E$26:M$126,MATCH('Step 6 Quality Check'!C363,'Step 4 Stage Discharge'!E$26:E$126,1),1))</f>
        <v>4.3639431710317386E-3</v>
      </c>
      <c r="F363" s="218">
        <f t="shared" si="25"/>
        <v>0</v>
      </c>
      <c r="G363" s="218">
        <f t="shared" si="26"/>
        <v>0</v>
      </c>
    </row>
    <row r="364" spans="1:7">
      <c r="A364" s="217">
        <f t="shared" si="27"/>
        <v>1740</v>
      </c>
      <c r="B364" s="216">
        <f t="shared" si="28"/>
        <v>99.1</v>
      </c>
      <c r="C364" s="218">
        <f t="shared" si="29"/>
        <v>0</v>
      </c>
      <c r="D364" s="219">
        <f>INDEX('Step 4 Stage Discharge'!E$26:F$126,MATCH(C364,'Step 4 Stage Discharge'!E$26:E$126,1),2)+(INDEX('Step 4 Stage Discharge'!E$26:F$126,MATCH(C364,'Step 4 Stage Discharge'!E$26:E$126,1)+1,2)-INDEX('Step 4 Stage Discharge'!E$26:F$126,MATCH(C364,'Step 4 Stage Discharge'!E$26:E$126,1),2))*(C364-INDEX('Step 4 Stage Discharge'!E$26:F$126,MATCH(C364,'Step 4 Stage Discharge'!E$26:E$126,1),1))/(INDEX('Step 4 Stage Discharge'!E$26:F$126,MATCH(C364,'Step 4 Stage Discharge'!E$26:E$126,1)+1,1)-INDEX('Step 4 Stage Discharge'!E$26:F$126,MATCH(C364,'Step 4 Stage Discharge'!E$26:E$126,1),1))</f>
        <v>0</v>
      </c>
      <c r="E364" s="219">
        <f>INDEX('Step 4 Stage Discharge'!E$26:M$126,MATCH(C364,'Step 4 Stage Discharge'!E$26:E$126,1),9)+(INDEX('Step 4 Stage Discharge'!E$26:M$126,MATCH('Step 6 Quality Check'!C364,'Step 4 Stage Discharge'!E$26:E$126,1)+1,9)-INDEX('Step 4 Stage Discharge'!E$26:M$126,MATCH('Step 6 Quality Check'!C364,'Step 4 Stage Discharge'!E$26:E$126,1),9))*('Step 6 Quality Check'!C364-INDEX('Step 4 Stage Discharge'!E$26:M$126,MATCH('Step 6 Quality Check'!C364,'Step 4 Stage Discharge'!E$26:E$126,1),1))/(INDEX('Step 4 Stage Discharge'!E$26:M$126,MATCH('Step 6 Quality Check'!C364,'Step 4 Stage Discharge'!E$26:E$126,1)+1,1)-INDEX('Step 4 Stage Discharge'!E$26:M$126,MATCH('Step 6 Quality Check'!C364,'Step 4 Stage Discharge'!E$26:E$126,1),1))</f>
        <v>4.3639431710317386E-3</v>
      </c>
      <c r="F364" s="218">
        <f t="shared" si="25"/>
        <v>0</v>
      </c>
      <c r="G364" s="218">
        <f t="shared" si="26"/>
        <v>0</v>
      </c>
    </row>
    <row r="365" spans="1:7">
      <c r="A365" s="217">
        <f t="shared" si="27"/>
        <v>1745</v>
      </c>
      <c r="B365" s="216">
        <f t="shared" si="28"/>
        <v>99.1</v>
      </c>
      <c r="C365" s="218">
        <f t="shared" si="29"/>
        <v>0</v>
      </c>
      <c r="D365" s="219">
        <f>INDEX('Step 4 Stage Discharge'!E$26:F$126,MATCH(C365,'Step 4 Stage Discharge'!E$26:E$126,1),2)+(INDEX('Step 4 Stage Discharge'!E$26:F$126,MATCH(C365,'Step 4 Stage Discharge'!E$26:E$126,1)+1,2)-INDEX('Step 4 Stage Discharge'!E$26:F$126,MATCH(C365,'Step 4 Stage Discharge'!E$26:E$126,1),2))*(C365-INDEX('Step 4 Stage Discharge'!E$26:F$126,MATCH(C365,'Step 4 Stage Discharge'!E$26:E$126,1),1))/(INDEX('Step 4 Stage Discharge'!E$26:F$126,MATCH(C365,'Step 4 Stage Discharge'!E$26:E$126,1)+1,1)-INDEX('Step 4 Stage Discharge'!E$26:F$126,MATCH(C365,'Step 4 Stage Discharge'!E$26:E$126,1),1))</f>
        <v>0</v>
      </c>
      <c r="E365" s="219">
        <f>INDEX('Step 4 Stage Discharge'!E$26:M$126,MATCH(C365,'Step 4 Stage Discharge'!E$26:E$126,1),9)+(INDEX('Step 4 Stage Discharge'!E$26:M$126,MATCH('Step 6 Quality Check'!C365,'Step 4 Stage Discharge'!E$26:E$126,1)+1,9)-INDEX('Step 4 Stage Discharge'!E$26:M$126,MATCH('Step 6 Quality Check'!C365,'Step 4 Stage Discharge'!E$26:E$126,1),9))*('Step 6 Quality Check'!C365-INDEX('Step 4 Stage Discharge'!E$26:M$126,MATCH('Step 6 Quality Check'!C365,'Step 4 Stage Discharge'!E$26:E$126,1),1))/(INDEX('Step 4 Stage Discharge'!E$26:M$126,MATCH('Step 6 Quality Check'!C365,'Step 4 Stage Discharge'!E$26:E$126,1)+1,1)-INDEX('Step 4 Stage Discharge'!E$26:M$126,MATCH('Step 6 Quality Check'!C365,'Step 4 Stage Discharge'!E$26:E$126,1),1))</f>
        <v>4.3639431710317386E-3</v>
      </c>
      <c r="F365" s="218">
        <f t="shared" si="25"/>
        <v>0</v>
      </c>
      <c r="G365" s="218">
        <f t="shared" si="26"/>
        <v>0</v>
      </c>
    </row>
    <row r="366" spans="1:7">
      <c r="A366" s="217">
        <f t="shared" si="27"/>
        <v>1750</v>
      </c>
      <c r="B366" s="216">
        <f t="shared" si="28"/>
        <v>99.1</v>
      </c>
      <c r="C366" s="218">
        <f t="shared" si="29"/>
        <v>0</v>
      </c>
      <c r="D366" s="219">
        <f>INDEX('Step 4 Stage Discharge'!E$26:F$126,MATCH(C366,'Step 4 Stage Discharge'!E$26:E$126,1),2)+(INDEX('Step 4 Stage Discharge'!E$26:F$126,MATCH(C366,'Step 4 Stage Discharge'!E$26:E$126,1)+1,2)-INDEX('Step 4 Stage Discharge'!E$26:F$126,MATCH(C366,'Step 4 Stage Discharge'!E$26:E$126,1),2))*(C366-INDEX('Step 4 Stage Discharge'!E$26:F$126,MATCH(C366,'Step 4 Stage Discharge'!E$26:E$126,1),1))/(INDEX('Step 4 Stage Discharge'!E$26:F$126,MATCH(C366,'Step 4 Stage Discharge'!E$26:E$126,1)+1,1)-INDEX('Step 4 Stage Discharge'!E$26:F$126,MATCH(C366,'Step 4 Stage Discharge'!E$26:E$126,1),1))</f>
        <v>0</v>
      </c>
      <c r="E366" s="219">
        <f>INDEX('Step 4 Stage Discharge'!E$26:M$126,MATCH(C366,'Step 4 Stage Discharge'!E$26:E$126,1),9)+(INDEX('Step 4 Stage Discharge'!E$26:M$126,MATCH('Step 6 Quality Check'!C366,'Step 4 Stage Discharge'!E$26:E$126,1)+1,9)-INDEX('Step 4 Stage Discharge'!E$26:M$126,MATCH('Step 6 Quality Check'!C366,'Step 4 Stage Discharge'!E$26:E$126,1),9))*('Step 6 Quality Check'!C366-INDEX('Step 4 Stage Discharge'!E$26:M$126,MATCH('Step 6 Quality Check'!C366,'Step 4 Stage Discharge'!E$26:E$126,1),1))/(INDEX('Step 4 Stage Discharge'!E$26:M$126,MATCH('Step 6 Quality Check'!C366,'Step 4 Stage Discharge'!E$26:E$126,1)+1,1)-INDEX('Step 4 Stage Discharge'!E$26:M$126,MATCH('Step 6 Quality Check'!C366,'Step 4 Stage Discharge'!E$26:E$126,1),1))</f>
        <v>4.3639431710317386E-3</v>
      </c>
      <c r="F366" s="218">
        <f t="shared" si="25"/>
        <v>0</v>
      </c>
      <c r="G366" s="218">
        <f t="shared" si="26"/>
        <v>0</v>
      </c>
    </row>
    <row r="367" spans="1:7">
      <c r="A367" s="217">
        <f t="shared" si="27"/>
        <v>1755</v>
      </c>
      <c r="B367" s="216">
        <f t="shared" si="28"/>
        <v>99.1</v>
      </c>
      <c r="C367" s="218">
        <f t="shared" si="29"/>
        <v>0</v>
      </c>
      <c r="D367" s="219">
        <f>INDEX('Step 4 Stage Discharge'!E$26:F$126,MATCH(C367,'Step 4 Stage Discharge'!E$26:E$126,1),2)+(INDEX('Step 4 Stage Discharge'!E$26:F$126,MATCH(C367,'Step 4 Stage Discharge'!E$26:E$126,1)+1,2)-INDEX('Step 4 Stage Discharge'!E$26:F$126,MATCH(C367,'Step 4 Stage Discharge'!E$26:E$126,1),2))*(C367-INDEX('Step 4 Stage Discharge'!E$26:F$126,MATCH(C367,'Step 4 Stage Discharge'!E$26:E$126,1),1))/(INDEX('Step 4 Stage Discharge'!E$26:F$126,MATCH(C367,'Step 4 Stage Discharge'!E$26:E$126,1)+1,1)-INDEX('Step 4 Stage Discharge'!E$26:F$126,MATCH(C367,'Step 4 Stage Discharge'!E$26:E$126,1),1))</f>
        <v>0</v>
      </c>
      <c r="E367" s="219">
        <f>INDEX('Step 4 Stage Discharge'!E$26:M$126,MATCH(C367,'Step 4 Stage Discharge'!E$26:E$126,1),9)+(INDEX('Step 4 Stage Discharge'!E$26:M$126,MATCH('Step 6 Quality Check'!C367,'Step 4 Stage Discharge'!E$26:E$126,1)+1,9)-INDEX('Step 4 Stage Discharge'!E$26:M$126,MATCH('Step 6 Quality Check'!C367,'Step 4 Stage Discharge'!E$26:E$126,1),9))*('Step 6 Quality Check'!C367-INDEX('Step 4 Stage Discharge'!E$26:M$126,MATCH('Step 6 Quality Check'!C367,'Step 4 Stage Discharge'!E$26:E$126,1),1))/(INDEX('Step 4 Stage Discharge'!E$26:M$126,MATCH('Step 6 Quality Check'!C367,'Step 4 Stage Discharge'!E$26:E$126,1)+1,1)-INDEX('Step 4 Stage Discharge'!E$26:M$126,MATCH('Step 6 Quality Check'!C367,'Step 4 Stage Discharge'!E$26:E$126,1),1))</f>
        <v>4.3639431710317386E-3</v>
      </c>
      <c r="F367" s="218">
        <f t="shared" si="25"/>
        <v>0</v>
      </c>
      <c r="G367" s="218">
        <f t="shared" si="26"/>
        <v>0</v>
      </c>
    </row>
    <row r="368" spans="1:7">
      <c r="A368" s="217">
        <f t="shared" si="27"/>
        <v>1760</v>
      </c>
      <c r="B368" s="216">
        <f t="shared" si="28"/>
        <v>99.1</v>
      </c>
      <c r="C368" s="218">
        <f t="shared" si="29"/>
        <v>0</v>
      </c>
      <c r="D368" s="219">
        <f>INDEX('Step 4 Stage Discharge'!E$26:F$126,MATCH(C368,'Step 4 Stage Discharge'!E$26:E$126,1),2)+(INDEX('Step 4 Stage Discharge'!E$26:F$126,MATCH(C368,'Step 4 Stage Discharge'!E$26:E$126,1)+1,2)-INDEX('Step 4 Stage Discharge'!E$26:F$126,MATCH(C368,'Step 4 Stage Discharge'!E$26:E$126,1),2))*(C368-INDEX('Step 4 Stage Discharge'!E$26:F$126,MATCH(C368,'Step 4 Stage Discharge'!E$26:E$126,1),1))/(INDEX('Step 4 Stage Discharge'!E$26:F$126,MATCH(C368,'Step 4 Stage Discharge'!E$26:E$126,1)+1,1)-INDEX('Step 4 Stage Discharge'!E$26:F$126,MATCH(C368,'Step 4 Stage Discharge'!E$26:E$126,1),1))</f>
        <v>0</v>
      </c>
      <c r="E368" s="219">
        <f>INDEX('Step 4 Stage Discharge'!E$26:M$126,MATCH(C368,'Step 4 Stage Discharge'!E$26:E$126,1),9)+(INDEX('Step 4 Stage Discharge'!E$26:M$126,MATCH('Step 6 Quality Check'!C368,'Step 4 Stage Discharge'!E$26:E$126,1)+1,9)-INDEX('Step 4 Stage Discharge'!E$26:M$126,MATCH('Step 6 Quality Check'!C368,'Step 4 Stage Discharge'!E$26:E$126,1),9))*('Step 6 Quality Check'!C368-INDEX('Step 4 Stage Discharge'!E$26:M$126,MATCH('Step 6 Quality Check'!C368,'Step 4 Stage Discharge'!E$26:E$126,1),1))/(INDEX('Step 4 Stage Discharge'!E$26:M$126,MATCH('Step 6 Quality Check'!C368,'Step 4 Stage Discharge'!E$26:E$126,1)+1,1)-INDEX('Step 4 Stage Discharge'!E$26:M$126,MATCH('Step 6 Quality Check'!C368,'Step 4 Stage Discharge'!E$26:E$126,1),1))</f>
        <v>4.3639431710317386E-3</v>
      </c>
      <c r="F368" s="218">
        <f t="shared" si="25"/>
        <v>0</v>
      </c>
      <c r="G368" s="218">
        <f t="shared" si="26"/>
        <v>0</v>
      </c>
    </row>
    <row r="369" spans="1:7">
      <c r="A369" s="217">
        <f t="shared" si="27"/>
        <v>1765</v>
      </c>
      <c r="B369" s="216">
        <f t="shared" si="28"/>
        <v>99.1</v>
      </c>
      <c r="C369" s="218">
        <f t="shared" si="29"/>
        <v>0</v>
      </c>
      <c r="D369" s="219">
        <f>INDEX('Step 4 Stage Discharge'!E$26:F$126,MATCH(C369,'Step 4 Stage Discharge'!E$26:E$126,1),2)+(INDEX('Step 4 Stage Discharge'!E$26:F$126,MATCH(C369,'Step 4 Stage Discharge'!E$26:E$126,1)+1,2)-INDEX('Step 4 Stage Discharge'!E$26:F$126,MATCH(C369,'Step 4 Stage Discharge'!E$26:E$126,1),2))*(C369-INDEX('Step 4 Stage Discharge'!E$26:F$126,MATCH(C369,'Step 4 Stage Discharge'!E$26:E$126,1),1))/(INDEX('Step 4 Stage Discharge'!E$26:F$126,MATCH(C369,'Step 4 Stage Discharge'!E$26:E$126,1)+1,1)-INDEX('Step 4 Stage Discharge'!E$26:F$126,MATCH(C369,'Step 4 Stage Discharge'!E$26:E$126,1),1))</f>
        <v>0</v>
      </c>
      <c r="E369" s="219">
        <f>INDEX('Step 4 Stage Discharge'!E$26:M$126,MATCH(C369,'Step 4 Stage Discharge'!E$26:E$126,1),9)+(INDEX('Step 4 Stage Discharge'!E$26:M$126,MATCH('Step 6 Quality Check'!C369,'Step 4 Stage Discharge'!E$26:E$126,1)+1,9)-INDEX('Step 4 Stage Discharge'!E$26:M$126,MATCH('Step 6 Quality Check'!C369,'Step 4 Stage Discharge'!E$26:E$126,1),9))*('Step 6 Quality Check'!C369-INDEX('Step 4 Stage Discharge'!E$26:M$126,MATCH('Step 6 Quality Check'!C369,'Step 4 Stage Discharge'!E$26:E$126,1),1))/(INDEX('Step 4 Stage Discharge'!E$26:M$126,MATCH('Step 6 Quality Check'!C369,'Step 4 Stage Discharge'!E$26:E$126,1)+1,1)-INDEX('Step 4 Stage Discharge'!E$26:M$126,MATCH('Step 6 Quality Check'!C369,'Step 4 Stage Discharge'!E$26:E$126,1),1))</f>
        <v>4.3639431710317386E-3</v>
      </c>
      <c r="F369" s="218">
        <f t="shared" si="25"/>
        <v>0</v>
      </c>
      <c r="G369" s="218">
        <f t="shared" si="26"/>
        <v>0</v>
      </c>
    </row>
    <row r="370" spans="1:7">
      <c r="A370" s="217">
        <f t="shared" si="27"/>
        <v>1770</v>
      </c>
      <c r="B370" s="216">
        <f t="shared" si="28"/>
        <v>99.1</v>
      </c>
      <c r="C370" s="218">
        <f t="shared" si="29"/>
        <v>0</v>
      </c>
      <c r="D370" s="219">
        <f>INDEX('Step 4 Stage Discharge'!E$26:F$126,MATCH(C370,'Step 4 Stage Discharge'!E$26:E$126,1),2)+(INDEX('Step 4 Stage Discharge'!E$26:F$126,MATCH(C370,'Step 4 Stage Discharge'!E$26:E$126,1)+1,2)-INDEX('Step 4 Stage Discharge'!E$26:F$126,MATCH(C370,'Step 4 Stage Discharge'!E$26:E$126,1),2))*(C370-INDEX('Step 4 Stage Discharge'!E$26:F$126,MATCH(C370,'Step 4 Stage Discharge'!E$26:E$126,1),1))/(INDEX('Step 4 Stage Discharge'!E$26:F$126,MATCH(C370,'Step 4 Stage Discharge'!E$26:E$126,1)+1,1)-INDEX('Step 4 Stage Discharge'!E$26:F$126,MATCH(C370,'Step 4 Stage Discharge'!E$26:E$126,1),1))</f>
        <v>0</v>
      </c>
      <c r="E370" s="219">
        <f>INDEX('Step 4 Stage Discharge'!E$26:M$126,MATCH(C370,'Step 4 Stage Discharge'!E$26:E$126,1),9)+(INDEX('Step 4 Stage Discharge'!E$26:M$126,MATCH('Step 6 Quality Check'!C370,'Step 4 Stage Discharge'!E$26:E$126,1)+1,9)-INDEX('Step 4 Stage Discharge'!E$26:M$126,MATCH('Step 6 Quality Check'!C370,'Step 4 Stage Discharge'!E$26:E$126,1),9))*('Step 6 Quality Check'!C370-INDEX('Step 4 Stage Discharge'!E$26:M$126,MATCH('Step 6 Quality Check'!C370,'Step 4 Stage Discharge'!E$26:E$126,1),1))/(INDEX('Step 4 Stage Discharge'!E$26:M$126,MATCH('Step 6 Quality Check'!C370,'Step 4 Stage Discharge'!E$26:E$126,1)+1,1)-INDEX('Step 4 Stage Discharge'!E$26:M$126,MATCH('Step 6 Quality Check'!C370,'Step 4 Stage Discharge'!E$26:E$126,1),1))</f>
        <v>4.3639431710317386E-3</v>
      </c>
      <c r="F370" s="218">
        <f t="shared" si="25"/>
        <v>0</v>
      </c>
      <c r="G370" s="218">
        <f t="shared" si="26"/>
        <v>0</v>
      </c>
    </row>
    <row r="371" spans="1:7">
      <c r="A371" s="217">
        <f t="shared" si="27"/>
        <v>1775</v>
      </c>
      <c r="B371" s="216">
        <f t="shared" si="28"/>
        <v>99.1</v>
      </c>
      <c r="C371" s="218">
        <f t="shared" si="29"/>
        <v>0</v>
      </c>
      <c r="D371" s="219">
        <f>INDEX('Step 4 Stage Discharge'!E$26:F$126,MATCH(C371,'Step 4 Stage Discharge'!E$26:E$126,1),2)+(INDEX('Step 4 Stage Discharge'!E$26:F$126,MATCH(C371,'Step 4 Stage Discharge'!E$26:E$126,1)+1,2)-INDEX('Step 4 Stage Discharge'!E$26:F$126,MATCH(C371,'Step 4 Stage Discharge'!E$26:E$126,1),2))*(C371-INDEX('Step 4 Stage Discharge'!E$26:F$126,MATCH(C371,'Step 4 Stage Discharge'!E$26:E$126,1),1))/(INDEX('Step 4 Stage Discharge'!E$26:F$126,MATCH(C371,'Step 4 Stage Discharge'!E$26:E$126,1)+1,1)-INDEX('Step 4 Stage Discharge'!E$26:F$126,MATCH(C371,'Step 4 Stage Discharge'!E$26:E$126,1),1))</f>
        <v>0</v>
      </c>
      <c r="E371" s="219">
        <f>INDEX('Step 4 Stage Discharge'!E$26:M$126,MATCH(C371,'Step 4 Stage Discharge'!E$26:E$126,1),9)+(INDEX('Step 4 Stage Discharge'!E$26:M$126,MATCH('Step 6 Quality Check'!C371,'Step 4 Stage Discharge'!E$26:E$126,1)+1,9)-INDEX('Step 4 Stage Discharge'!E$26:M$126,MATCH('Step 6 Quality Check'!C371,'Step 4 Stage Discharge'!E$26:E$126,1),9))*('Step 6 Quality Check'!C371-INDEX('Step 4 Stage Discharge'!E$26:M$126,MATCH('Step 6 Quality Check'!C371,'Step 4 Stage Discharge'!E$26:E$126,1),1))/(INDEX('Step 4 Stage Discharge'!E$26:M$126,MATCH('Step 6 Quality Check'!C371,'Step 4 Stage Discharge'!E$26:E$126,1)+1,1)-INDEX('Step 4 Stage Discharge'!E$26:M$126,MATCH('Step 6 Quality Check'!C371,'Step 4 Stage Discharge'!E$26:E$126,1),1))</f>
        <v>4.3639431710317386E-3</v>
      </c>
      <c r="F371" s="218">
        <f t="shared" si="25"/>
        <v>0</v>
      </c>
      <c r="G371" s="218">
        <f t="shared" si="26"/>
        <v>0</v>
      </c>
    </row>
    <row r="372" spans="1:7">
      <c r="A372" s="217">
        <f t="shared" si="27"/>
        <v>1780</v>
      </c>
      <c r="B372" s="216">
        <f t="shared" si="28"/>
        <v>99.1</v>
      </c>
      <c r="C372" s="218">
        <f t="shared" si="29"/>
        <v>0</v>
      </c>
      <c r="D372" s="219">
        <f>INDEX('Step 4 Stage Discharge'!E$26:F$126,MATCH(C372,'Step 4 Stage Discharge'!E$26:E$126,1),2)+(INDEX('Step 4 Stage Discharge'!E$26:F$126,MATCH(C372,'Step 4 Stage Discharge'!E$26:E$126,1)+1,2)-INDEX('Step 4 Stage Discharge'!E$26:F$126,MATCH(C372,'Step 4 Stage Discharge'!E$26:E$126,1),2))*(C372-INDEX('Step 4 Stage Discharge'!E$26:F$126,MATCH(C372,'Step 4 Stage Discharge'!E$26:E$126,1),1))/(INDEX('Step 4 Stage Discharge'!E$26:F$126,MATCH(C372,'Step 4 Stage Discharge'!E$26:E$126,1)+1,1)-INDEX('Step 4 Stage Discharge'!E$26:F$126,MATCH(C372,'Step 4 Stage Discharge'!E$26:E$126,1),1))</f>
        <v>0</v>
      </c>
      <c r="E372" s="219">
        <f>INDEX('Step 4 Stage Discharge'!E$26:M$126,MATCH(C372,'Step 4 Stage Discharge'!E$26:E$126,1),9)+(INDEX('Step 4 Stage Discharge'!E$26:M$126,MATCH('Step 6 Quality Check'!C372,'Step 4 Stage Discharge'!E$26:E$126,1)+1,9)-INDEX('Step 4 Stage Discharge'!E$26:M$126,MATCH('Step 6 Quality Check'!C372,'Step 4 Stage Discharge'!E$26:E$126,1),9))*('Step 6 Quality Check'!C372-INDEX('Step 4 Stage Discharge'!E$26:M$126,MATCH('Step 6 Quality Check'!C372,'Step 4 Stage Discharge'!E$26:E$126,1),1))/(INDEX('Step 4 Stage Discharge'!E$26:M$126,MATCH('Step 6 Quality Check'!C372,'Step 4 Stage Discharge'!E$26:E$126,1)+1,1)-INDEX('Step 4 Stage Discharge'!E$26:M$126,MATCH('Step 6 Quality Check'!C372,'Step 4 Stage Discharge'!E$26:E$126,1),1))</f>
        <v>4.3639431710317386E-3</v>
      </c>
      <c r="F372" s="218">
        <f t="shared" si="25"/>
        <v>0</v>
      </c>
      <c r="G372" s="218">
        <f t="shared" si="26"/>
        <v>0</v>
      </c>
    </row>
    <row r="373" spans="1:7">
      <c r="A373" s="217">
        <f t="shared" si="27"/>
        <v>1785</v>
      </c>
      <c r="B373" s="216">
        <f t="shared" si="28"/>
        <v>99.1</v>
      </c>
      <c r="C373" s="218">
        <f t="shared" si="29"/>
        <v>0</v>
      </c>
      <c r="D373" s="219">
        <f>INDEX('Step 4 Stage Discharge'!E$26:F$126,MATCH(C373,'Step 4 Stage Discharge'!E$26:E$126,1),2)+(INDEX('Step 4 Stage Discharge'!E$26:F$126,MATCH(C373,'Step 4 Stage Discharge'!E$26:E$126,1)+1,2)-INDEX('Step 4 Stage Discharge'!E$26:F$126,MATCH(C373,'Step 4 Stage Discharge'!E$26:E$126,1),2))*(C373-INDEX('Step 4 Stage Discharge'!E$26:F$126,MATCH(C373,'Step 4 Stage Discharge'!E$26:E$126,1),1))/(INDEX('Step 4 Stage Discharge'!E$26:F$126,MATCH(C373,'Step 4 Stage Discharge'!E$26:E$126,1)+1,1)-INDEX('Step 4 Stage Discharge'!E$26:F$126,MATCH(C373,'Step 4 Stage Discharge'!E$26:E$126,1),1))</f>
        <v>0</v>
      </c>
      <c r="E373" s="219">
        <f>INDEX('Step 4 Stage Discharge'!E$26:M$126,MATCH(C373,'Step 4 Stage Discharge'!E$26:E$126,1),9)+(INDEX('Step 4 Stage Discharge'!E$26:M$126,MATCH('Step 6 Quality Check'!C373,'Step 4 Stage Discharge'!E$26:E$126,1)+1,9)-INDEX('Step 4 Stage Discharge'!E$26:M$126,MATCH('Step 6 Quality Check'!C373,'Step 4 Stage Discharge'!E$26:E$126,1),9))*('Step 6 Quality Check'!C373-INDEX('Step 4 Stage Discharge'!E$26:M$126,MATCH('Step 6 Quality Check'!C373,'Step 4 Stage Discharge'!E$26:E$126,1),1))/(INDEX('Step 4 Stage Discharge'!E$26:M$126,MATCH('Step 6 Quality Check'!C373,'Step 4 Stage Discharge'!E$26:E$126,1)+1,1)-INDEX('Step 4 Stage Discharge'!E$26:M$126,MATCH('Step 6 Quality Check'!C373,'Step 4 Stage Discharge'!E$26:E$126,1),1))</f>
        <v>4.3639431710317386E-3</v>
      </c>
      <c r="F373" s="218">
        <f t="shared" si="25"/>
        <v>0</v>
      </c>
      <c r="G373" s="218">
        <f t="shared" si="26"/>
        <v>0</v>
      </c>
    </row>
    <row r="374" spans="1:7">
      <c r="A374" s="217">
        <f t="shared" si="27"/>
        <v>1790</v>
      </c>
      <c r="B374" s="216">
        <f t="shared" si="28"/>
        <v>99.1</v>
      </c>
      <c r="C374" s="218">
        <f t="shared" si="29"/>
        <v>0</v>
      </c>
      <c r="D374" s="219">
        <f>INDEX('Step 4 Stage Discharge'!E$26:F$126,MATCH(C374,'Step 4 Stage Discharge'!E$26:E$126,1),2)+(INDEX('Step 4 Stage Discharge'!E$26:F$126,MATCH(C374,'Step 4 Stage Discharge'!E$26:E$126,1)+1,2)-INDEX('Step 4 Stage Discharge'!E$26:F$126,MATCH(C374,'Step 4 Stage Discharge'!E$26:E$126,1),2))*(C374-INDEX('Step 4 Stage Discharge'!E$26:F$126,MATCH(C374,'Step 4 Stage Discharge'!E$26:E$126,1),1))/(INDEX('Step 4 Stage Discharge'!E$26:F$126,MATCH(C374,'Step 4 Stage Discharge'!E$26:E$126,1)+1,1)-INDEX('Step 4 Stage Discharge'!E$26:F$126,MATCH(C374,'Step 4 Stage Discharge'!E$26:E$126,1),1))</f>
        <v>0</v>
      </c>
      <c r="E374" s="219">
        <f>INDEX('Step 4 Stage Discharge'!E$26:M$126,MATCH(C374,'Step 4 Stage Discharge'!E$26:E$126,1),9)+(INDEX('Step 4 Stage Discharge'!E$26:M$126,MATCH('Step 6 Quality Check'!C374,'Step 4 Stage Discharge'!E$26:E$126,1)+1,9)-INDEX('Step 4 Stage Discharge'!E$26:M$126,MATCH('Step 6 Quality Check'!C374,'Step 4 Stage Discharge'!E$26:E$126,1),9))*('Step 6 Quality Check'!C374-INDEX('Step 4 Stage Discharge'!E$26:M$126,MATCH('Step 6 Quality Check'!C374,'Step 4 Stage Discharge'!E$26:E$126,1),1))/(INDEX('Step 4 Stage Discharge'!E$26:M$126,MATCH('Step 6 Quality Check'!C374,'Step 4 Stage Discharge'!E$26:E$126,1)+1,1)-INDEX('Step 4 Stage Discharge'!E$26:M$126,MATCH('Step 6 Quality Check'!C374,'Step 4 Stage Discharge'!E$26:E$126,1),1))</f>
        <v>4.3639431710317386E-3</v>
      </c>
      <c r="F374" s="218">
        <f t="shared" si="25"/>
        <v>0</v>
      </c>
      <c r="G374" s="218">
        <f t="shared" si="26"/>
        <v>0</v>
      </c>
    </row>
    <row r="375" spans="1:7">
      <c r="A375" s="217">
        <f t="shared" si="27"/>
        <v>1795</v>
      </c>
      <c r="B375" s="216">
        <f t="shared" si="28"/>
        <v>99.1</v>
      </c>
      <c r="C375" s="218">
        <f t="shared" si="29"/>
        <v>0</v>
      </c>
      <c r="D375" s="219">
        <f>INDEX('Step 4 Stage Discharge'!E$26:F$126,MATCH(C375,'Step 4 Stage Discharge'!E$26:E$126,1),2)+(INDEX('Step 4 Stage Discharge'!E$26:F$126,MATCH(C375,'Step 4 Stage Discharge'!E$26:E$126,1)+1,2)-INDEX('Step 4 Stage Discharge'!E$26:F$126,MATCH(C375,'Step 4 Stage Discharge'!E$26:E$126,1),2))*(C375-INDEX('Step 4 Stage Discharge'!E$26:F$126,MATCH(C375,'Step 4 Stage Discharge'!E$26:E$126,1),1))/(INDEX('Step 4 Stage Discharge'!E$26:F$126,MATCH(C375,'Step 4 Stage Discharge'!E$26:E$126,1)+1,1)-INDEX('Step 4 Stage Discharge'!E$26:F$126,MATCH(C375,'Step 4 Stage Discharge'!E$26:E$126,1),1))</f>
        <v>0</v>
      </c>
      <c r="E375" s="219">
        <f>INDEX('Step 4 Stage Discharge'!E$26:M$126,MATCH(C375,'Step 4 Stage Discharge'!E$26:E$126,1),9)+(INDEX('Step 4 Stage Discharge'!E$26:M$126,MATCH('Step 6 Quality Check'!C375,'Step 4 Stage Discharge'!E$26:E$126,1)+1,9)-INDEX('Step 4 Stage Discharge'!E$26:M$126,MATCH('Step 6 Quality Check'!C375,'Step 4 Stage Discharge'!E$26:E$126,1),9))*('Step 6 Quality Check'!C375-INDEX('Step 4 Stage Discharge'!E$26:M$126,MATCH('Step 6 Quality Check'!C375,'Step 4 Stage Discharge'!E$26:E$126,1),1))/(INDEX('Step 4 Stage Discharge'!E$26:M$126,MATCH('Step 6 Quality Check'!C375,'Step 4 Stage Discharge'!E$26:E$126,1)+1,1)-INDEX('Step 4 Stage Discharge'!E$26:M$126,MATCH('Step 6 Quality Check'!C375,'Step 4 Stage Discharge'!E$26:E$126,1),1))</f>
        <v>4.3639431710317386E-3</v>
      </c>
      <c r="F375" s="218">
        <f t="shared" si="25"/>
        <v>0</v>
      </c>
      <c r="G375" s="218">
        <f t="shared" si="26"/>
        <v>0</v>
      </c>
    </row>
    <row r="376" spans="1:7">
      <c r="A376" s="217">
        <f t="shared" si="27"/>
        <v>1800</v>
      </c>
      <c r="B376" s="216">
        <f t="shared" si="28"/>
        <v>99.1</v>
      </c>
      <c r="C376" s="218">
        <f t="shared" si="29"/>
        <v>0</v>
      </c>
      <c r="D376" s="219">
        <f>INDEX('Step 4 Stage Discharge'!E$26:F$126,MATCH(C376,'Step 4 Stage Discharge'!E$26:E$126,1),2)+(INDEX('Step 4 Stage Discharge'!E$26:F$126,MATCH(C376,'Step 4 Stage Discharge'!E$26:E$126,1)+1,2)-INDEX('Step 4 Stage Discharge'!E$26:F$126,MATCH(C376,'Step 4 Stage Discharge'!E$26:E$126,1),2))*(C376-INDEX('Step 4 Stage Discharge'!E$26:F$126,MATCH(C376,'Step 4 Stage Discharge'!E$26:E$126,1),1))/(INDEX('Step 4 Stage Discharge'!E$26:F$126,MATCH(C376,'Step 4 Stage Discharge'!E$26:E$126,1)+1,1)-INDEX('Step 4 Stage Discharge'!E$26:F$126,MATCH(C376,'Step 4 Stage Discharge'!E$26:E$126,1),1))</f>
        <v>0</v>
      </c>
      <c r="E376" s="219">
        <f>INDEX('Step 4 Stage Discharge'!E$26:M$126,MATCH(C376,'Step 4 Stage Discharge'!E$26:E$126,1),9)+(INDEX('Step 4 Stage Discharge'!E$26:M$126,MATCH('Step 6 Quality Check'!C376,'Step 4 Stage Discharge'!E$26:E$126,1)+1,9)-INDEX('Step 4 Stage Discharge'!E$26:M$126,MATCH('Step 6 Quality Check'!C376,'Step 4 Stage Discharge'!E$26:E$126,1),9))*('Step 6 Quality Check'!C376-INDEX('Step 4 Stage Discharge'!E$26:M$126,MATCH('Step 6 Quality Check'!C376,'Step 4 Stage Discharge'!E$26:E$126,1),1))/(INDEX('Step 4 Stage Discharge'!E$26:M$126,MATCH('Step 6 Quality Check'!C376,'Step 4 Stage Discharge'!E$26:E$126,1)+1,1)-INDEX('Step 4 Stage Discharge'!E$26:M$126,MATCH('Step 6 Quality Check'!C376,'Step 4 Stage Discharge'!E$26:E$126,1),1))</f>
        <v>4.3639431710317386E-3</v>
      </c>
      <c r="F376" s="218">
        <f t="shared" si="25"/>
        <v>0</v>
      </c>
      <c r="G376" s="218">
        <f t="shared" si="26"/>
        <v>0</v>
      </c>
    </row>
    <row r="377" spans="1:7">
      <c r="A377" s="217">
        <f t="shared" si="27"/>
        <v>1805</v>
      </c>
      <c r="B377" s="216">
        <f t="shared" si="28"/>
        <v>99.1</v>
      </c>
      <c r="C377" s="218">
        <f t="shared" si="29"/>
        <v>0</v>
      </c>
      <c r="D377" s="219">
        <f>INDEX('Step 4 Stage Discharge'!E$26:F$126,MATCH(C377,'Step 4 Stage Discharge'!E$26:E$126,1),2)+(INDEX('Step 4 Stage Discharge'!E$26:F$126,MATCH(C377,'Step 4 Stage Discharge'!E$26:E$126,1)+1,2)-INDEX('Step 4 Stage Discharge'!E$26:F$126,MATCH(C377,'Step 4 Stage Discharge'!E$26:E$126,1),2))*(C377-INDEX('Step 4 Stage Discharge'!E$26:F$126,MATCH(C377,'Step 4 Stage Discharge'!E$26:E$126,1),1))/(INDEX('Step 4 Stage Discharge'!E$26:F$126,MATCH(C377,'Step 4 Stage Discharge'!E$26:E$126,1)+1,1)-INDEX('Step 4 Stage Discharge'!E$26:F$126,MATCH(C377,'Step 4 Stage Discharge'!E$26:E$126,1),1))</f>
        <v>0</v>
      </c>
      <c r="E377" s="219">
        <f>INDEX('Step 4 Stage Discharge'!E$26:M$126,MATCH(C377,'Step 4 Stage Discharge'!E$26:E$126,1),9)+(INDEX('Step 4 Stage Discharge'!E$26:M$126,MATCH('Step 6 Quality Check'!C377,'Step 4 Stage Discharge'!E$26:E$126,1)+1,9)-INDEX('Step 4 Stage Discharge'!E$26:M$126,MATCH('Step 6 Quality Check'!C377,'Step 4 Stage Discharge'!E$26:E$126,1),9))*('Step 6 Quality Check'!C377-INDEX('Step 4 Stage Discharge'!E$26:M$126,MATCH('Step 6 Quality Check'!C377,'Step 4 Stage Discharge'!E$26:E$126,1),1))/(INDEX('Step 4 Stage Discharge'!E$26:M$126,MATCH('Step 6 Quality Check'!C377,'Step 4 Stage Discharge'!E$26:E$126,1)+1,1)-INDEX('Step 4 Stage Discharge'!E$26:M$126,MATCH('Step 6 Quality Check'!C377,'Step 4 Stage Discharge'!E$26:E$126,1),1))</f>
        <v>4.3639431710317386E-3</v>
      </c>
      <c r="F377" s="218">
        <f t="shared" si="25"/>
        <v>0</v>
      </c>
      <c r="G377" s="218">
        <f t="shared" si="26"/>
        <v>0</v>
      </c>
    </row>
    <row r="378" spans="1:7">
      <c r="A378" s="217">
        <f t="shared" si="27"/>
        <v>1810</v>
      </c>
      <c r="B378" s="216">
        <f t="shared" si="28"/>
        <v>99.1</v>
      </c>
      <c r="C378" s="218">
        <f t="shared" si="29"/>
        <v>0</v>
      </c>
      <c r="D378" s="219">
        <f>INDEX('Step 4 Stage Discharge'!E$26:F$126,MATCH(C378,'Step 4 Stage Discharge'!E$26:E$126,1),2)+(INDEX('Step 4 Stage Discharge'!E$26:F$126,MATCH(C378,'Step 4 Stage Discharge'!E$26:E$126,1)+1,2)-INDEX('Step 4 Stage Discharge'!E$26:F$126,MATCH(C378,'Step 4 Stage Discharge'!E$26:E$126,1),2))*(C378-INDEX('Step 4 Stage Discharge'!E$26:F$126,MATCH(C378,'Step 4 Stage Discharge'!E$26:E$126,1),1))/(INDEX('Step 4 Stage Discharge'!E$26:F$126,MATCH(C378,'Step 4 Stage Discharge'!E$26:E$126,1)+1,1)-INDEX('Step 4 Stage Discharge'!E$26:F$126,MATCH(C378,'Step 4 Stage Discharge'!E$26:E$126,1),1))</f>
        <v>0</v>
      </c>
      <c r="E378" s="219">
        <f>INDEX('Step 4 Stage Discharge'!E$26:M$126,MATCH(C378,'Step 4 Stage Discharge'!E$26:E$126,1),9)+(INDEX('Step 4 Stage Discharge'!E$26:M$126,MATCH('Step 6 Quality Check'!C378,'Step 4 Stage Discharge'!E$26:E$126,1)+1,9)-INDEX('Step 4 Stage Discharge'!E$26:M$126,MATCH('Step 6 Quality Check'!C378,'Step 4 Stage Discharge'!E$26:E$126,1),9))*('Step 6 Quality Check'!C378-INDEX('Step 4 Stage Discharge'!E$26:M$126,MATCH('Step 6 Quality Check'!C378,'Step 4 Stage Discharge'!E$26:E$126,1),1))/(INDEX('Step 4 Stage Discharge'!E$26:M$126,MATCH('Step 6 Quality Check'!C378,'Step 4 Stage Discharge'!E$26:E$126,1)+1,1)-INDEX('Step 4 Stage Discharge'!E$26:M$126,MATCH('Step 6 Quality Check'!C378,'Step 4 Stage Discharge'!E$26:E$126,1),1))</f>
        <v>4.3639431710317386E-3</v>
      </c>
      <c r="F378" s="218">
        <f t="shared" si="25"/>
        <v>0</v>
      </c>
      <c r="G378" s="218">
        <f t="shared" si="26"/>
        <v>0</v>
      </c>
    </row>
    <row r="379" spans="1:7">
      <c r="A379" s="217">
        <f t="shared" si="27"/>
        <v>1815</v>
      </c>
      <c r="B379" s="216">
        <f t="shared" si="28"/>
        <v>99.1</v>
      </c>
      <c r="C379" s="218">
        <f t="shared" si="29"/>
        <v>0</v>
      </c>
      <c r="D379" s="219">
        <f>INDEX('Step 4 Stage Discharge'!E$26:F$126,MATCH(C379,'Step 4 Stage Discharge'!E$26:E$126,1),2)+(INDEX('Step 4 Stage Discharge'!E$26:F$126,MATCH(C379,'Step 4 Stage Discharge'!E$26:E$126,1)+1,2)-INDEX('Step 4 Stage Discharge'!E$26:F$126,MATCH(C379,'Step 4 Stage Discharge'!E$26:E$126,1),2))*(C379-INDEX('Step 4 Stage Discharge'!E$26:F$126,MATCH(C379,'Step 4 Stage Discharge'!E$26:E$126,1),1))/(INDEX('Step 4 Stage Discharge'!E$26:F$126,MATCH(C379,'Step 4 Stage Discharge'!E$26:E$126,1)+1,1)-INDEX('Step 4 Stage Discharge'!E$26:F$126,MATCH(C379,'Step 4 Stage Discharge'!E$26:E$126,1),1))</f>
        <v>0</v>
      </c>
      <c r="E379" s="219">
        <f>INDEX('Step 4 Stage Discharge'!E$26:M$126,MATCH(C379,'Step 4 Stage Discharge'!E$26:E$126,1),9)+(INDEX('Step 4 Stage Discharge'!E$26:M$126,MATCH('Step 6 Quality Check'!C379,'Step 4 Stage Discharge'!E$26:E$126,1)+1,9)-INDEX('Step 4 Stage Discharge'!E$26:M$126,MATCH('Step 6 Quality Check'!C379,'Step 4 Stage Discharge'!E$26:E$126,1),9))*('Step 6 Quality Check'!C379-INDEX('Step 4 Stage Discharge'!E$26:M$126,MATCH('Step 6 Quality Check'!C379,'Step 4 Stage Discharge'!E$26:E$126,1),1))/(INDEX('Step 4 Stage Discharge'!E$26:M$126,MATCH('Step 6 Quality Check'!C379,'Step 4 Stage Discharge'!E$26:E$126,1)+1,1)-INDEX('Step 4 Stage Discharge'!E$26:M$126,MATCH('Step 6 Quality Check'!C379,'Step 4 Stage Discharge'!E$26:E$126,1),1))</f>
        <v>4.3639431710317386E-3</v>
      </c>
      <c r="F379" s="218">
        <f t="shared" si="25"/>
        <v>0</v>
      </c>
      <c r="G379" s="218">
        <f t="shared" si="26"/>
        <v>0</v>
      </c>
    </row>
    <row r="380" spans="1:7">
      <c r="A380" s="217">
        <f t="shared" si="27"/>
        <v>1820</v>
      </c>
      <c r="B380" s="216">
        <f t="shared" si="28"/>
        <v>99.1</v>
      </c>
      <c r="C380" s="218">
        <f t="shared" si="29"/>
        <v>0</v>
      </c>
      <c r="D380" s="219">
        <f>INDEX('Step 4 Stage Discharge'!E$26:F$126,MATCH(C380,'Step 4 Stage Discharge'!E$26:E$126,1),2)+(INDEX('Step 4 Stage Discharge'!E$26:F$126,MATCH(C380,'Step 4 Stage Discharge'!E$26:E$126,1)+1,2)-INDEX('Step 4 Stage Discharge'!E$26:F$126,MATCH(C380,'Step 4 Stage Discharge'!E$26:E$126,1),2))*(C380-INDEX('Step 4 Stage Discharge'!E$26:F$126,MATCH(C380,'Step 4 Stage Discharge'!E$26:E$126,1),1))/(INDEX('Step 4 Stage Discharge'!E$26:F$126,MATCH(C380,'Step 4 Stage Discharge'!E$26:E$126,1)+1,1)-INDEX('Step 4 Stage Discharge'!E$26:F$126,MATCH(C380,'Step 4 Stage Discharge'!E$26:E$126,1),1))</f>
        <v>0</v>
      </c>
      <c r="E380" s="219">
        <f>INDEX('Step 4 Stage Discharge'!E$26:M$126,MATCH(C380,'Step 4 Stage Discharge'!E$26:E$126,1),9)+(INDEX('Step 4 Stage Discharge'!E$26:M$126,MATCH('Step 6 Quality Check'!C380,'Step 4 Stage Discharge'!E$26:E$126,1)+1,9)-INDEX('Step 4 Stage Discharge'!E$26:M$126,MATCH('Step 6 Quality Check'!C380,'Step 4 Stage Discharge'!E$26:E$126,1),9))*('Step 6 Quality Check'!C380-INDEX('Step 4 Stage Discharge'!E$26:M$126,MATCH('Step 6 Quality Check'!C380,'Step 4 Stage Discharge'!E$26:E$126,1),1))/(INDEX('Step 4 Stage Discharge'!E$26:M$126,MATCH('Step 6 Quality Check'!C380,'Step 4 Stage Discharge'!E$26:E$126,1)+1,1)-INDEX('Step 4 Stage Discharge'!E$26:M$126,MATCH('Step 6 Quality Check'!C380,'Step 4 Stage Discharge'!E$26:E$126,1),1))</f>
        <v>4.3639431710317386E-3</v>
      </c>
      <c r="F380" s="218">
        <f t="shared" si="25"/>
        <v>0</v>
      </c>
      <c r="G380" s="218">
        <f t="shared" si="26"/>
        <v>0</v>
      </c>
    </row>
    <row r="381" spans="1:7">
      <c r="A381" s="217">
        <f t="shared" si="27"/>
        <v>1825</v>
      </c>
      <c r="B381" s="216">
        <f t="shared" si="28"/>
        <v>99.1</v>
      </c>
      <c r="C381" s="218">
        <f t="shared" si="29"/>
        <v>0</v>
      </c>
      <c r="D381" s="219">
        <f>INDEX('Step 4 Stage Discharge'!E$26:F$126,MATCH(C381,'Step 4 Stage Discharge'!E$26:E$126,1),2)+(INDEX('Step 4 Stage Discharge'!E$26:F$126,MATCH(C381,'Step 4 Stage Discharge'!E$26:E$126,1)+1,2)-INDEX('Step 4 Stage Discharge'!E$26:F$126,MATCH(C381,'Step 4 Stage Discharge'!E$26:E$126,1),2))*(C381-INDEX('Step 4 Stage Discharge'!E$26:F$126,MATCH(C381,'Step 4 Stage Discharge'!E$26:E$126,1),1))/(INDEX('Step 4 Stage Discharge'!E$26:F$126,MATCH(C381,'Step 4 Stage Discharge'!E$26:E$126,1)+1,1)-INDEX('Step 4 Stage Discharge'!E$26:F$126,MATCH(C381,'Step 4 Stage Discharge'!E$26:E$126,1),1))</f>
        <v>0</v>
      </c>
      <c r="E381" s="219">
        <f>INDEX('Step 4 Stage Discharge'!E$26:M$126,MATCH(C381,'Step 4 Stage Discharge'!E$26:E$126,1),9)+(INDEX('Step 4 Stage Discharge'!E$26:M$126,MATCH('Step 6 Quality Check'!C381,'Step 4 Stage Discharge'!E$26:E$126,1)+1,9)-INDEX('Step 4 Stage Discharge'!E$26:M$126,MATCH('Step 6 Quality Check'!C381,'Step 4 Stage Discharge'!E$26:E$126,1),9))*('Step 6 Quality Check'!C381-INDEX('Step 4 Stage Discharge'!E$26:M$126,MATCH('Step 6 Quality Check'!C381,'Step 4 Stage Discharge'!E$26:E$126,1),1))/(INDEX('Step 4 Stage Discharge'!E$26:M$126,MATCH('Step 6 Quality Check'!C381,'Step 4 Stage Discharge'!E$26:E$126,1)+1,1)-INDEX('Step 4 Stage Discharge'!E$26:M$126,MATCH('Step 6 Quality Check'!C381,'Step 4 Stage Discharge'!E$26:E$126,1),1))</f>
        <v>4.3639431710317386E-3</v>
      </c>
      <c r="F381" s="218">
        <f t="shared" si="25"/>
        <v>0</v>
      </c>
      <c r="G381" s="218">
        <f t="shared" si="26"/>
        <v>0</v>
      </c>
    </row>
    <row r="382" spans="1:7">
      <c r="A382" s="217">
        <f t="shared" si="27"/>
        <v>1830</v>
      </c>
      <c r="B382" s="216">
        <f t="shared" si="28"/>
        <v>99.1</v>
      </c>
      <c r="C382" s="218">
        <f t="shared" si="29"/>
        <v>0</v>
      </c>
      <c r="D382" s="219">
        <f>INDEX('Step 4 Stage Discharge'!E$26:F$126,MATCH(C382,'Step 4 Stage Discharge'!E$26:E$126,1),2)+(INDEX('Step 4 Stage Discharge'!E$26:F$126,MATCH(C382,'Step 4 Stage Discharge'!E$26:E$126,1)+1,2)-INDEX('Step 4 Stage Discharge'!E$26:F$126,MATCH(C382,'Step 4 Stage Discharge'!E$26:E$126,1),2))*(C382-INDEX('Step 4 Stage Discharge'!E$26:F$126,MATCH(C382,'Step 4 Stage Discharge'!E$26:E$126,1),1))/(INDEX('Step 4 Stage Discharge'!E$26:F$126,MATCH(C382,'Step 4 Stage Discharge'!E$26:E$126,1)+1,1)-INDEX('Step 4 Stage Discharge'!E$26:F$126,MATCH(C382,'Step 4 Stage Discharge'!E$26:E$126,1),1))</f>
        <v>0</v>
      </c>
      <c r="E382" s="219">
        <f>INDEX('Step 4 Stage Discharge'!E$26:M$126,MATCH(C382,'Step 4 Stage Discharge'!E$26:E$126,1),9)+(INDEX('Step 4 Stage Discharge'!E$26:M$126,MATCH('Step 6 Quality Check'!C382,'Step 4 Stage Discharge'!E$26:E$126,1)+1,9)-INDEX('Step 4 Stage Discharge'!E$26:M$126,MATCH('Step 6 Quality Check'!C382,'Step 4 Stage Discharge'!E$26:E$126,1),9))*('Step 6 Quality Check'!C382-INDEX('Step 4 Stage Discharge'!E$26:M$126,MATCH('Step 6 Quality Check'!C382,'Step 4 Stage Discharge'!E$26:E$126,1),1))/(INDEX('Step 4 Stage Discharge'!E$26:M$126,MATCH('Step 6 Quality Check'!C382,'Step 4 Stage Discharge'!E$26:E$126,1)+1,1)-INDEX('Step 4 Stage Discharge'!E$26:M$126,MATCH('Step 6 Quality Check'!C382,'Step 4 Stage Discharge'!E$26:E$126,1),1))</f>
        <v>4.3639431710317386E-3</v>
      </c>
      <c r="F382" s="218">
        <f t="shared" si="25"/>
        <v>0</v>
      </c>
      <c r="G382" s="218">
        <f t="shared" si="26"/>
        <v>0</v>
      </c>
    </row>
    <row r="383" spans="1:7">
      <c r="A383" s="217">
        <f t="shared" si="27"/>
        <v>1835</v>
      </c>
      <c r="B383" s="216">
        <f t="shared" si="28"/>
        <v>99.1</v>
      </c>
      <c r="C383" s="218">
        <f t="shared" si="29"/>
        <v>0</v>
      </c>
      <c r="D383" s="219">
        <f>INDEX('Step 4 Stage Discharge'!E$26:F$126,MATCH(C383,'Step 4 Stage Discharge'!E$26:E$126,1),2)+(INDEX('Step 4 Stage Discharge'!E$26:F$126,MATCH(C383,'Step 4 Stage Discharge'!E$26:E$126,1)+1,2)-INDEX('Step 4 Stage Discharge'!E$26:F$126,MATCH(C383,'Step 4 Stage Discharge'!E$26:E$126,1),2))*(C383-INDEX('Step 4 Stage Discharge'!E$26:F$126,MATCH(C383,'Step 4 Stage Discharge'!E$26:E$126,1),1))/(INDEX('Step 4 Stage Discharge'!E$26:F$126,MATCH(C383,'Step 4 Stage Discharge'!E$26:E$126,1)+1,1)-INDEX('Step 4 Stage Discharge'!E$26:F$126,MATCH(C383,'Step 4 Stage Discharge'!E$26:E$126,1),1))</f>
        <v>0</v>
      </c>
      <c r="E383" s="219">
        <f>INDEX('Step 4 Stage Discharge'!E$26:M$126,MATCH(C383,'Step 4 Stage Discharge'!E$26:E$126,1),9)+(INDEX('Step 4 Stage Discharge'!E$26:M$126,MATCH('Step 6 Quality Check'!C383,'Step 4 Stage Discharge'!E$26:E$126,1)+1,9)-INDEX('Step 4 Stage Discharge'!E$26:M$126,MATCH('Step 6 Quality Check'!C383,'Step 4 Stage Discharge'!E$26:E$126,1),9))*('Step 6 Quality Check'!C383-INDEX('Step 4 Stage Discharge'!E$26:M$126,MATCH('Step 6 Quality Check'!C383,'Step 4 Stage Discharge'!E$26:E$126,1),1))/(INDEX('Step 4 Stage Discharge'!E$26:M$126,MATCH('Step 6 Quality Check'!C383,'Step 4 Stage Discharge'!E$26:E$126,1)+1,1)-INDEX('Step 4 Stage Discharge'!E$26:M$126,MATCH('Step 6 Quality Check'!C383,'Step 4 Stage Discharge'!E$26:E$126,1),1))</f>
        <v>4.3639431710317386E-3</v>
      </c>
      <c r="F383" s="218">
        <f t="shared" si="25"/>
        <v>0</v>
      </c>
      <c r="G383" s="218">
        <f t="shared" si="26"/>
        <v>0</v>
      </c>
    </row>
    <row r="384" spans="1:7">
      <c r="A384" s="217">
        <f t="shared" si="27"/>
        <v>1840</v>
      </c>
      <c r="B384" s="216">
        <f t="shared" si="28"/>
        <v>99.1</v>
      </c>
      <c r="C384" s="218">
        <f t="shared" si="29"/>
        <v>0</v>
      </c>
      <c r="D384" s="219">
        <f>INDEX('Step 4 Stage Discharge'!E$26:F$126,MATCH(C384,'Step 4 Stage Discharge'!E$26:E$126,1),2)+(INDEX('Step 4 Stage Discharge'!E$26:F$126,MATCH(C384,'Step 4 Stage Discharge'!E$26:E$126,1)+1,2)-INDEX('Step 4 Stage Discharge'!E$26:F$126,MATCH(C384,'Step 4 Stage Discharge'!E$26:E$126,1),2))*(C384-INDEX('Step 4 Stage Discharge'!E$26:F$126,MATCH(C384,'Step 4 Stage Discharge'!E$26:E$126,1),1))/(INDEX('Step 4 Stage Discharge'!E$26:F$126,MATCH(C384,'Step 4 Stage Discharge'!E$26:E$126,1)+1,1)-INDEX('Step 4 Stage Discharge'!E$26:F$126,MATCH(C384,'Step 4 Stage Discharge'!E$26:E$126,1),1))</f>
        <v>0</v>
      </c>
      <c r="E384" s="219">
        <f>INDEX('Step 4 Stage Discharge'!E$26:M$126,MATCH(C384,'Step 4 Stage Discharge'!E$26:E$126,1),9)+(INDEX('Step 4 Stage Discharge'!E$26:M$126,MATCH('Step 6 Quality Check'!C384,'Step 4 Stage Discharge'!E$26:E$126,1)+1,9)-INDEX('Step 4 Stage Discharge'!E$26:M$126,MATCH('Step 6 Quality Check'!C384,'Step 4 Stage Discharge'!E$26:E$126,1),9))*('Step 6 Quality Check'!C384-INDEX('Step 4 Stage Discharge'!E$26:M$126,MATCH('Step 6 Quality Check'!C384,'Step 4 Stage Discharge'!E$26:E$126,1),1))/(INDEX('Step 4 Stage Discharge'!E$26:M$126,MATCH('Step 6 Quality Check'!C384,'Step 4 Stage Discharge'!E$26:E$126,1)+1,1)-INDEX('Step 4 Stage Discharge'!E$26:M$126,MATCH('Step 6 Quality Check'!C384,'Step 4 Stage Discharge'!E$26:E$126,1),1))</f>
        <v>4.3639431710317386E-3</v>
      </c>
      <c r="F384" s="218">
        <f t="shared" si="25"/>
        <v>0</v>
      </c>
      <c r="G384" s="218">
        <f t="shared" si="26"/>
        <v>0</v>
      </c>
    </row>
    <row r="385" spans="1:7">
      <c r="A385" s="217">
        <f t="shared" si="27"/>
        <v>1845</v>
      </c>
      <c r="B385" s="216">
        <f t="shared" si="28"/>
        <v>99.1</v>
      </c>
      <c r="C385" s="218">
        <f t="shared" si="29"/>
        <v>0</v>
      </c>
      <c r="D385" s="219">
        <f>INDEX('Step 4 Stage Discharge'!E$26:F$126,MATCH(C385,'Step 4 Stage Discharge'!E$26:E$126,1),2)+(INDEX('Step 4 Stage Discharge'!E$26:F$126,MATCH(C385,'Step 4 Stage Discharge'!E$26:E$126,1)+1,2)-INDEX('Step 4 Stage Discharge'!E$26:F$126,MATCH(C385,'Step 4 Stage Discharge'!E$26:E$126,1),2))*(C385-INDEX('Step 4 Stage Discharge'!E$26:F$126,MATCH(C385,'Step 4 Stage Discharge'!E$26:E$126,1),1))/(INDEX('Step 4 Stage Discharge'!E$26:F$126,MATCH(C385,'Step 4 Stage Discharge'!E$26:E$126,1)+1,1)-INDEX('Step 4 Stage Discharge'!E$26:F$126,MATCH(C385,'Step 4 Stage Discharge'!E$26:E$126,1),1))</f>
        <v>0</v>
      </c>
      <c r="E385" s="219">
        <f>INDEX('Step 4 Stage Discharge'!E$26:M$126,MATCH(C385,'Step 4 Stage Discharge'!E$26:E$126,1),9)+(INDEX('Step 4 Stage Discharge'!E$26:M$126,MATCH('Step 6 Quality Check'!C385,'Step 4 Stage Discharge'!E$26:E$126,1)+1,9)-INDEX('Step 4 Stage Discharge'!E$26:M$126,MATCH('Step 6 Quality Check'!C385,'Step 4 Stage Discharge'!E$26:E$126,1),9))*('Step 6 Quality Check'!C385-INDEX('Step 4 Stage Discharge'!E$26:M$126,MATCH('Step 6 Quality Check'!C385,'Step 4 Stage Discharge'!E$26:E$126,1),1))/(INDEX('Step 4 Stage Discharge'!E$26:M$126,MATCH('Step 6 Quality Check'!C385,'Step 4 Stage Discharge'!E$26:E$126,1)+1,1)-INDEX('Step 4 Stage Discharge'!E$26:M$126,MATCH('Step 6 Quality Check'!C385,'Step 4 Stage Discharge'!E$26:E$126,1),1))</f>
        <v>4.3639431710317386E-3</v>
      </c>
      <c r="F385" s="218">
        <f t="shared" si="25"/>
        <v>0</v>
      </c>
      <c r="G385" s="218">
        <f t="shared" si="26"/>
        <v>0</v>
      </c>
    </row>
    <row r="386" spans="1:7">
      <c r="A386" s="217">
        <f t="shared" si="27"/>
        <v>1850</v>
      </c>
      <c r="B386" s="216">
        <f t="shared" si="28"/>
        <v>99.1</v>
      </c>
      <c r="C386" s="218">
        <f t="shared" si="29"/>
        <v>0</v>
      </c>
      <c r="D386" s="219">
        <f>INDEX('Step 4 Stage Discharge'!E$26:F$126,MATCH(C386,'Step 4 Stage Discharge'!E$26:E$126,1),2)+(INDEX('Step 4 Stage Discharge'!E$26:F$126,MATCH(C386,'Step 4 Stage Discharge'!E$26:E$126,1)+1,2)-INDEX('Step 4 Stage Discharge'!E$26:F$126,MATCH(C386,'Step 4 Stage Discharge'!E$26:E$126,1),2))*(C386-INDEX('Step 4 Stage Discharge'!E$26:F$126,MATCH(C386,'Step 4 Stage Discharge'!E$26:E$126,1),1))/(INDEX('Step 4 Stage Discharge'!E$26:F$126,MATCH(C386,'Step 4 Stage Discharge'!E$26:E$126,1)+1,1)-INDEX('Step 4 Stage Discharge'!E$26:F$126,MATCH(C386,'Step 4 Stage Discharge'!E$26:E$126,1),1))</f>
        <v>0</v>
      </c>
      <c r="E386" s="219">
        <f>INDEX('Step 4 Stage Discharge'!E$26:M$126,MATCH(C386,'Step 4 Stage Discharge'!E$26:E$126,1),9)+(INDEX('Step 4 Stage Discharge'!E$26:M$126,MATCH('Step 6 Quality Check'!C386,'Step 4 Stage Discharge'!E$26:E$126,1)+1,9)-INDEX('Step 4 Stage Discharge'!E$26:M$126,MATCH('Step 6 Quality Check'!C386,'Step 4 Stage Discharge'!E$26:E$126,1),9))*('Step 6 Quality Check'!C386-INDEX('Step 4 Stage Discharge'!E$26:M$126,MATCH('Step 6 Quality Check'!C386,'Step 4 Stage Discharge'!E$26:E$126,1),1))/(INDEX('Step 4 Stage Discharge'!E$26:M$126,MATCH('Step 6 Quality Check'!C386,'Step 4 Stage Discharge'!E$26:E$126,1)+1,1)-INDEX('Step 4 Stage Discharge'!E$26:M$126,MATCH('Step 6 Quality Check'!C386,'Step 4 Stage Discharge'!E$26:E$126,1),1))</f>
        <v>4.3639431710317386E-3</v>
      </c>
      <c r="F386" s="218">
        <f t="shared" si="25"/>
        <v>0</v>
      </c>
      <c r="G386" s="218">
        <f t="shared" si="26"/>
        <v>0</v>
      </c>
    </row>
    <row r="387" spans="1:7">
      <c r="A387" s="217">
        <f t="shared" si="27"/>
        <v>1855</v>
      </c>
      <c r="B387" s="216">
        <f t="shared" si="28"/>
        <v>99.1</v>
      </c>
      <c r="C387" s="218">
        <f t="shared" si="29"/>
        <v>0</v>
      </c>
      <c r="D387" s="219">
        <f>INDEX('Step 4 Stage Discharge'!E$26:F$126,MATCH(C387,'Step 4 Stage Discharge'!E$26:E$126,1),2)+(INDEX('Step 4 Stage Discharge'!E$26:F$126,MATCH(C387,'Step 4 Stage Discharge'!E$26:E$126,1)+1,2)-INDEX('Step 4 Stage Discharge'!E$26:F$126,MATCH(C387,'Step 4 Stage Discharge'!E$26:E$126,1),2))*(C387-INDEX('Step 4 Stage Discharge'!E$26:F$126,MATCH(C387,'Step 4 Stage Discharge'!E$26:E$126,1),1))/(INDEX('Step 4 Stage Discharge'!E$26:F$126,MATCH(C387,'Step 4 Stage Discharge'!E$26:E$126,1)+1,1)-INDEX('Step 4 Stage Discharge'!E$26:F$126,MATCH(C387,'Step 4 Stage Discharge'!E$26:E$126,1),1))</f>
        <v>0</v>
      </c>
      <c r="E387" s="219">
        <f>INDEX('Step 4 Stage Discharge'!E$26:M$126,MATCH(C387,'Step 4 Stage Discharge'!E$26:E$126,1),9)+(INDEX('Step 4 Stage Discharge'!E$26:M$126,MATCH('Step 6 Quality Check'!C387,'Step 4 Stage Discharge'!E$26:E$126,1)+1,9)-INDEX('Step 4 Stage Discharge'!E$26:M$126,MATCH('Step 6 Quality Check'!C387,'Step 4 Stage Discharge'!E$26:E$126,1),9))*('Step 6 Quality Check'!C387-INDEX('Step 4 Stage Discharge'!E$26:M$126,MATCH('Step 6 Quality Check'!C387,'Step 4 Stage Discharge'!E$26:E$126,1),1))/(INDEX('Step 4 Stage Discharge'!E$26:M$126,MATCH('Step 6 Quality Check'!C387,'Step 4 Stage Discharge'!E$26:E$126,1)+1,1)-INDEX('Step 4 Stage Discharge'!E$26:M$126,MATCH('Step 6 Quality Check'!C387,'Step 4 Stage Discharge'!E$26:E$126,1),1))</f>
        <v>4.3639431710317386E-3</v>
      </c>
      <c r="F387" s="218">
        <f t="shared" si="25"/>
        <v>0</v>
      </c>
      <c r="G387" s="218">
        <f t="shared" si="26"/>
        <v>0</v>
      </c>
    </row>
    <row r="388" spans="1:7">
      <c r="A388" s="217">
        <f t="shared" si="27"/>
        <v>1860</v>
      </c>
      <c r="B388" s="216">
        <f t="shared" si="28"/>
        <v>99.1</v>
      </c>
      <c r="C388" s="218">
        <f t="shared" si="29"/>
        <v>0</v>
      </c>
      <c r="D388" s="219">
        <f>INDEX('Step 4 Stage Discharge'!E$26:F$126,MATCH(C388,'Step 4 Stage Discharge'!E$26:E$126,1),2)+(INDEX('Step 4 Stage Discharge'!E$26:F$126,MATCH(C388,'Step 4 Stage Discharge'!E$26:E$126,1)+1,2)-INDEX('Step 4 Stage Discharge'!E$26:F$126,MATCH(C388,'Step 4 Stage Discharge'!E$26:E$126,1),2))*(C388-INDEX('Step 4 Stage Discharge'!E$26:F$126,MATCH(C388,'Step 4 Stage Discharge'!E$26:E$126,1),1))/(INDEX('Step 4 Stage Discharge'!E$26:F$126,MATCH(C388,'Step 4 Stage Discharge'!E$26:E$126,1)+1,1)-INDEX('Step 4 Stage Discharge'!E$26:F$126,MATCH(C388,'Step 4 Stage Discharge'!E$26:E$126,1),1))</f>
        <v>0</v>
      </c>
      <c r="E388" s="219">
        <f>INDEX('Step 4 Stage Discharge'!E$26:M$126,MATCH(C388,'Step 4 Stage Discharge'!E$26:E$126,1),9)+(INDEX('Step 4 Stage Discharge'!E$26:M$126,MATCH('Step 6 Quality Check'!C388,'Step 4 Stage Discharge'!E$26:E$126,1)+1,9)-INDEX('Step 4 Stage Discharge'!E$26:M$126,MATCH('Step 6 Quality Check'!C388,'Step 4 Stage Discharge'!E$26:E$126,1),9))*('Step 6 Quality Check'!C388-INDEX('Step 4 Stage Discharge'!E$26:M$126,MATCH('Step 6 Quality Check'!C388,'Step 4 Stage Discharge'!E$26:E$126,1),1))/(INDEX('Step 4 Stage Discharge'!E$26:M$126,MATCH('Step 6 Quality Check'!C388,'Step 4 Stage Discharge'!E$26:E$126,1)+1,1)-INDEX('Step 4 Stage Discharge'!E$26:M$126,MATCH('Step 6 Quality Check'!C388,'Step 4 Stage Discharge'!E$26:E$126,1),1))</f>
        <v>4.3639431710317386E-3</v>
      </c>
      <c r="F388" s="218">
        <f t="shared" si="25"/>
        <v>0</v>
      </c>
      <c r="G388" s="218">
        <f t="shared" si="26"/>
        <v>0</v>
      </c>
    </row>
    <row r="389" spans="1:7">
      <c r="A389" s="217">
        <f t="shared" si="27"/>
        <v>1865</v>
      </c>
      <c r="B389" s="216">
        <f t="shared" si="28"/>
        <v>99.1</v>
      </c>
      <c r="C389" s="218">
        <f t="shared" si="29"/>
        <v>0</v>
      </c>
      <c r="D389" s="219">
        <f>INDEX('Step 4 Stage Discharge'!E$26:F$126,MATCH(C389,'Step 4 Stage Discharge'!E$26:E$126,1),2)+(INDEX('Step 4 Stage Discharge'!E$26:F$126,MATCH(C389,'Step 4 Stage Discharge'!E$26:E$126,1)+1,2)-INDEX('Step 4 Stage Discharge'!E$26:F$126,MATCH(C389,'Step 4 Stage Discharge'!E$26:E$126,1),2))*(C389-INDEX('Step 4 Stage Discharge'!E$26:F$126,MATCH(C389,'Step 4 Stage Discharge'!E$26:E$126,1),1))/(INDEX('Step 4 Stage Discharge'!E$26:F$126,MATCH(C389,'Step 4 Stage Discharge'!E$26:E$126,1)+1,1)-INDEX('Step 4 Stage Discharge'!E$26:F$126,MATCH(C389,'Step 4 Stage Discharge'!E$26:E$126,1),1))</f>
        <v>0</v>
      </c>
      <c r="E389" s="219">
        <f>INDEX('Step 4 Stage Discharge'!E$26:M$126,MATCH(C389,'Step 4 Stage Discharge'!E$26:E$126,1),9)+(INDEX('Step 4 Stage Discharge'!E$26:M$126,MATCH('Step 6 Quality Check'!C389,'Step 4 Stage Discharge'!E$26:E$126,1)+1,9)-INDEX('Step 4 Stage Discharge'!E$26:M$126,MATCH('Step 6 Quality Check'!C389,'Step 4 Stage Discharge'!E$26:E$126,1),9))*('Step 6 Quality Check'!C389-INDEX('Step 4 Stage Discharge'!E$26:M$126,MATCH('Step 6 Quality Check'!C389,'Step 4 Stage Discharge'!E$26:E$126,1),1))/(INDEX('Step 4 Stage Discharge'!E$26:M$126,MATCH('Step 6 Quality Check'!C389,'Step 4 Stage Discharge'!E$26:E$126,1)+1,1)-INDEX('Step 4 Stage Discharge'!E$26:M$126,MATCH('Step 6 Quality Check'!C389,'Step 4 Stage Discharge'!E$26:E$126,1),1))</f>
        <v>4.3639431710317386E-3</v>
      </c>
      <c r="F389" s="218">
        <f t="shared" si="25"/>
        <v>0</v>
      </c>
      <c r="G389" s="218">
        <f t="shared" si="26"/>
        <v>0</v>
      </c>
    </row>
    <row r="390" spans="1:7">
      <c r="A390" s="217">
        <f t="shared" si="27"/>
        <v>1870</v>
      </c>
      <c r="B390" s="216">
        <f t="shared" si="28"/>
        <v>99.1</v>
      </c>
      <c r="C390" s="218">
        <f t="shared" si="29"/>
        <v>0</v>
      </c>
      <c r="D390" s="219">
        <f>INDEX('Step 4 Stage Discharge'!E$26:F$126,MATCH(C390,'Step 4 Stage Discharge'!E$26:E$126,1),2)+(INDEX('Step 4 Stage Discharge'!E$26:F$126,MATCH(C390,'Step 4 Stage Discharge'!E$26:E$126,1)+1,2)-INDEX('Step 4 Stage Discharge'!E$26:F$126,MATCH(C390,'Step 4 Stage Discharge'!E$26:E$126,1),2))*(C390-INDEX('Step 4 Stage Discharge'!E$26:F$126,MATCH(C390,'Step 4 Stage Discharge'!E$26:E$126,1),1))/(INDEX('Step 4 Stage Discharge'!E$26:F$126,MATCH(C390,'Step 4 Stage Discharge'!E$26:E$126,1)+1,1)-INDEX('Step 4 Stage Discharge'!E$26:F$126,MATCH(C390,'Step 4 Stage Discharge'!E$26:E$126,1),1))</f>
        <v>0</v>
      </c>
      <c r="E390" s="219">
        <f>INDEX('Step 4 Stage Discharge'!E$26:M$126,MATCH(C390,'Step 4 Stage Discharge'!E$26:E$126,1),9)+(INDEX('Step 4 Stage Discharge'!E$26:M$126,MATCH('Step 6 Quality Check'!C390,'Step 4 Stage Discharge'!E$26:E$126,1)+1,9)-INDEX('Step 4 Stage Discharge'!E$26:M$126,MATCH('Step 6 Quality Check'!C390,'Step 4 Stage Discharge'!E$26:E$126,1),9))*('Step 6 Quality Check'!C390-INDEX('Step 4 Stage Discharge'!E$26:M$126,MATCH('Step 6 Quality Check'!C390,'Step 4 Stage Discharge'!E$26:E$126,1),1))/(INDEX('Step 4 Stage Discharge'!E$26:M$126,MATCH('Step 6 Quality Check'!C390,'Step 4 Stage Discharge'!E$26:E$126,1)+1,1)-INDEX('Step 4 Stage Discharge'!E$26:M$126,MATCH('Step 6 Quality Check'!C390,'Step 4 Stage Discharge'!E$26:E$126,1),1))</f>
        <v>4.3639431710317386E-3</v>
      </c>
      <c r="F390" s="218">
        <f t="shared" si="25"/>
        <v>0</v>
      </c>
      <c r="G390" s="218">
        <f t="shared" si="26"/>
        <v>0</v>
      </c>
    </row>
    <row r="391" spans="1:7">
      <c r="A391" s="217">
        <f t="shared" si="27"/>
        <v>1875</v>
      </c>
      <c r="B391" s="216">
        <f t="shared" si="28"/>
        <v>99.1</v>
      </c>
      <c r="C391" s="218">
        <f t="shared" si="29"/>
        <v>0</v>
      </c>
      <c r="D391" s="219">
        <f>INDEX('Step 4 Stage Discharge'!E$26:F$126,MATCH(C391,'Step 4 Stage Discharge'!E$26:E$126,1),2)+(INDEX('Step 4 Stage Discharge'!E$26:F$126,MATCH(C391,'Step 4 Stage Discharge'!E$26:E$126,1)+1,2)-INDEX('Step 4 Stage Discharge'!E$26:F$126,MATCH(C391,'Step 4 Stage Discharge'!E$26:E$126,1),2))*(C391-INDEX('Step 4 Stage Discharge'!E$26:F$126,MATCH(C391,'Step 4 Stage Discharge'!E$26:E$126,1),1))/(INDEX('Step 4 Stage Discharge'!E$26:F$126,MATCH(C391,'Step 4 Stage Discharge'!E$26:E$126,1)+1,1)-INDEX('Step 4 Stage Discharge'!E$26:F$126,MATCH(C391,'Step 4 Stage Discharge'!E$26:E$126,1),1))</f>
        <v>0</v>
      </c>
      <c r="E391" s="219">
        <f>INDEX('Step 4 Stage Discharge'!E$26:M$126,MATCH(C391,'Step 4 Stage Discharge'!E$26:E$126,1),9)+(INDEX('Step 4 Stage Discharge'!E$26:M$126,MATCH('Step 6 Quality Check'!C391,'Step 4 Stage Discharge'!E$26:E$126,1)+1,9)-INDEX('Step 4 Stage Discharge'!E$26:M$126,MATCH('Step 6 Quality Check'!C391,'Step 4 Stage Discharge'!E$26:E$126,1),9))*('Step 6 Quality Check'!C391-INDEX('Step 4 Stage Discharge'!E$26:M$126,MATCH('Step 6 Quality Check'!C391,'Step 4 Stage Discharge'!E$26:E$126,1),1))/(INDEX('Step 4 Stage Discharge'!E$26:M$126,MATCH('Step 6 Quality Check'!C391,'Step 4 Stage Discharge'!E$26:E$126,1)+1,1)-INDEX('Step 4 Stage Discharge'!E$26:M$126,MATCH('Step 6 Quality Check'!C391,'Step 4 Stage Discharge'!E$26:E$126,1),1))</f>
        <v>4.3639431710317386E-3</v>
      </c>
      <c r="F391" s="218">
        <f t="shared" si="25"/>
        <v>0</v>
      </c>
      <c r="G391" s="218">
        <f t="shared" si="26"/>
        <v>0</v>
      </c>
    </row>
    <row r="392" spans="1:7">
      <c r="A392" s="217">
        <f t="shared" si="27"/>
        <v>1880</v>
      </c>
      <c r="B392" s="216">
        <f t="shared" si="28"/>
        <v>99.1</v>
      </c>
      <c r="C392" s="218">
        <f t="shared" si="29"/>
        <v>0</v>
      </c>
      <c r="D392" s="219">
        <f>INDEX('Step 4 Stage Discharge'!E$26:F$126,MATCH(C392,'Step 4 Stage Discharge'!E$26:E$126,1),2)+(INDEX('Step 4 Stage Discharge'!E$26:F$126,MATCH(C392,'Step 4 Stage Discharge'!E$26:E$126,1)+1,2)-INDEX('Step 4 Stage Discharge'!E$26:F$126,MATCH(C392,'Step 4 Stage Discharge'!E$26:E$126,1),2))*(C392-INDEX('Step 4 Stage Discharge'!E$26:F$126,MATCH(C392,'Step 4 Stage Discharge'!E$26:E$126,1),1))/(INDEX('Step 4 Stage Discharge'!E$26:F$126,MATCH(C392,'Step 4 Stage Discharge'!E$26:E$126,1)+1,1)-INDEX('Step 4 Stage Discharge'!E$26:F$126,MATCH(C392,'Step 4 Stage Discharge'!E$26:E$126,1),1))</f>
        <v>0</v>
      </c>
      <c r="E392" s="219">
        <f>INDEX('Step 4 Stage Discharge'!E$26:M$126,MATCH(C392,'Step 4 Stage Discharge'!E$26:E$126,1),9)+(INDEX('Step 4 Stage Discharge'!E$26:M$126,MATCH('Step 6 Quality Check'!C392,'Step 4 Stage Discharge'!E$26:E$126,1)+1,9)-INDEX('Step 4 Stage Discharge'!E$26:M$126,MATCH('Step 6 Quality Check'!C392,'Step 4 Stage Discharge'!E$26:E$126,1),9))*('Step 6 Quality Check'!C392-INDEX('Step 4 Stage Discharge'!E$26:M$126,MATCH('Step 6 Quality Check'!C392,'Step 4 Stage Discharge'!E$26:E$126,1),1))/(INDEX('Step 4 Stage Discharge'!E$26:M$126,MATCH('Step 6 Quality Check'!C392,'Step 4 Stage Discharge'!E$26:E$126,1)+1,1)-INDEX('Step 4 Stage Discharge'!E$26:M$126,MATCH('Step 6 Quality Check'!C392,'Step 4 Stage Discharge'!E$26:E$126,1),1))</f>
        <v>4.3639431710317386E-3</v>
      </c>
      <c r="F392" s="218">
        <f t="shared" si="25"/>
        <v>0</v>
      </c>
      <c r="G392" s="218">
        <f t="shared" si="26"/>
        <v>0</v>
      </c>
    </row>
    <row r="393" spans="1:7">
      <c r="A393" s="217">
        <f t="shared" si="27"/>
        <v>1885</v>
      </c>
      <c r="B393" s="216">
        <f t="shared" si="28"/>
        <v>99.1</v>
      </c>
      <c r="C393" s="218">
        <f t="shared" si="29"/>
        <v>0</v>
      </c>
      <c r="D393" s="219">
        <f>INDEX('Step 4 Stage Discharge'!E$26:F$126,MATCH(C393,'Step 4 Stage Discharge'!E$26:E$126,1),2)+(INDEX('Step 4 Stage Discharge'!E$26:F$126,MATCH(C393,'Step 4 Stage Discharge'!E$26:E$126,1)+1,2)-INDEX('Step 4 Stage Discharge'!E$26:F$126,MATCH(C393,'Step 4 Stage Discharge'!E$26:E$126,1),2))*(C393-INDEX('Step 4 Stage Discharge'!E$26:F$126,MATCH(C393,'Step 4 Stage Discharge'!E$26:E$126,1),1))/(INDEX('Step 4 Stage Discharge'!E$26:F$126,MATCH(C393,'Step 4 Stage Discharge'!E$26:E$126,1)+1,1)-INDEX('Step 4 Stage Discharge'!E$26:F$126,MATCH(C393,'Step 4 Stage Discharge'!E$26:E$126,1),1))</f>
        <v>0</v>
      </c>
      <c r="E393" s="219">
        <f>INDEX('Step 4 Stage Discharge'!E$26:M$126,MATCH(C393,'Step 4 Stage Discharge'!E$26:E$126,1),9)+(INDEX('Step 4 Stage Discharge'!E$26:M$126,MATCH('Step 6 Quality Check'!C393,'Step 4 Stage Discharge'!E$26:E$126,1)+1,9)-INDEX('Step 4 Stage Discharge'!E$26:M$126,MATCH('Step 6 Quality Check'!C393,'Step 4 Stage Discharge'!E$26:E$126,1),9))*('Step 6 Quality Check'!C393-INDEX('Step 4 Stage Discharge'!E$26:M$126,MATCH('Step 6 Quality Check'!C393,'Step 4 Stage Discharge'!E$26:E$126,1),1))/(INDEX('Step 4 Stage Discharge'!E$26:M$126,MATCH('Step 6 Quality Check'!C393,'Step 4 Stage Discharge'!E$26:E$126,1)+1,1)-INDEX('Step 4 Stage Discharge'!E$26:M$126,MATCH('Step 6 Quality Check'!C393,'Step 4 Stage Discharge'!E$26:E$126,1),1))</f>
        <v>4.3639431710317386E-3</v>
      </c>
      <c r="F393" s="218">
        <f t="shared" si="25"/>
        <v>0</v>
      </c>
      <c r="G393" s="218">
        <f t="shared" si="26"/>
        <v>0</v>
      </c>
    </row>
    <row r="394" spans="1:7">
      <c r="A394" s="217">
        <f t="shared" si="27"/>
        <v>1890</v>
      </c>
      <c r="B394" s="216">
        <f t="shared" si="28"/>
        <v>99.1</v>
      </c>
      <c r="C394" s="218">
        <f t="shared" si="29"/>
        <v>0</v>
      </c>
      <c r="D394" s="219">
        <f>INDEX('Step 4 Stage Discharge'!E$26:F$126,MATCH(C394,'Step 4 Stage Discharge'!E$26:E$126,1),2)+(INDEX('Step 4 Stage Discharge'!E$26:F$126,MATCH(C394,'Step 4 Stage Discharge'!E$26:E$126,1)+1,2)-INDEX('Step 4 Stage Discharge'!E$26:F$126,MATCH(C394,'Step 4 Stage Discharge'!E$26:E$126,1),2))*(C394-INDEX('Step 4 Stage Discharge'!E$26:F$126,MATCH(C394,'Step 4 Stage Discharge'!E$26:E$126,1),1))/(INDEX('Step 4 Stage Discharge'!E$26:F$126,MATCH(C394,'Step 4 Stage Discharge'!E$26:E$126,1)+1,1)-INDEX('Step 4 Stage Discharge'!E$26:F$126,MATCH(C394,'Step 4 Stage Discharge'!E$26:E$126,1),1))</f>
        <v>0</v>
      </c>
      <c r="E394" s="219">
        <f>INDEX('Step 4 Stage Discharge'!E$26:M$126,MATCH(C394,'Step 4 Stage Discharge'!E$26:E$126,1),9)+(INDEX('Step 4 Stage Discharge'!E$26:M$126,MATCH('Step 6 Quality Check'!C394,'Step 4 Stage Discharge'!E$26:E$126,1)+1,9)-INDEX('Step 4 Stage Discharge'!E$26:M$126,MATCH('Step 6 Quality Check'!C394,'Step 4 Stage Discharge'!E$26:E$126,1),9))*('Step 6 Quality Check'!C394-INDEX('Step 4 Stage Discharge'!E$26:M$126,MATCH('Step 6 Quality Check'!C394,'Step 4 Stage Discharge'!E$26:E$126,1),1))/(INDEX('Step 4 Stage Discharge'!E$26:M$126,MATCH('Step 6 Quality Check'!C394,'Step 4 Stage Discharge'!E$26:E$126,1)+1,1)-INDEX('Step 4 Stage Discharge'!E$26:M$126,MATCH('Step 6 Quality Check'!C394,'Step 4 Stage Discharge'!E$26:E$126,1),1))</f>
        <v>4.3639431710317386E-3</v>
      </c>
      <c r="F394" s="218">
        <f t="shared" si="25"/>
        <v>0</v>
      </c>
      <c r="G394" s="218">
        <f t="shared" si="26"/>
        <v>0</v>
      </c>
    </row>
    <row r="395" spans="1:7">
      <c r="A395" s="217">
        <f t="shared" si="27"/>
        <v>1895</v>
      </c>
      <c r="B395" s="216">
        <f t="shared" si="28"/>
        <v>99.1</v>
      </c>
      <c r="C395" s="218">
        <f t="shared" si="29"/>
        <v>0</v>
      </c>
      <c r="D395" s="219">
        <f>INDEX('Step 4 Stage Discharge'!E$26:F$126,MATCH(C395,'Step 4 Stage Discharge'!E$26:E$126,1),2)+(INDEX('Step 4 Stage Discharge'!E$26:F$126,MATCH(C395,'Step 4 Stage Discharge'!E$26:E$126,1)+1,2)-INDEX('Step 4 Stage Discharge'!E$26:F$126,MATCH(C395,'Step 4 Stage Discharge'!E$26:E$126,1),2))*(C395-INDEX('Step 4 Stage Discharge'!E$26:F$126,MATCH(C395,'Step 4 Stage Discharge'!E$26:E$126,1),1))/(INDEX('Step 4 Stage Discharge'!E$26:F$126,MATCH(C395,'Step 4 Stage Discharge'!E$26:E$126,1)+1,1)-INDEX('Step 4 Stage Discharge'!E$26:F$126,MATCH(C395,'Step 4 Stage Discharge'!E$26:E$126,1),1))</f>
        <v>0</v>
      </c>
      <c r="E395" s="219">
        <f>INDEX('Step 4 Stage Discharge'!E$26:M$126,MATCH(C395,'Step 4 Stage Discharge'!E$26:E$126,1),9)+(INDEX('Step 4 Stage Discharge'!E$26:M$126,MATCH('Step 6 Quality Check'!C395,'Step 4 Stage Discharge'!E$26:E$126,1)+1,9)-INDEX('Step 4 Stage Discharge'!E$26:M$126,MATCH('Step 6 Quality Check'!C395,'Step 4 Stage Discharge'!E$26:E$126,1),9))*('Step 6 Quality Check'!C395-INDEX('Step 4 Stage Discharge'!E$26:M$126,MATCH('Step 6 Quality Check'!C395,'Step 4 Stage Discharge'!E$26:E$126,1),1))/(INDEX('Step 4 Stage Discharge'!E$26:M$126,MATCH('Step 6 Quality Check'!C395,'Step 4 Stage Discharge'!E$26:E$126,1)+1,1)-INDEX('Step 4 Stage Discharge'!E$26:M$126,MATCH('Step 6 Quality Check'!C395,'Step 4 Stage Discharge'!E$26:E$126,1),1))</f>
        <v>4.3639431710317386E-3</v>
      </c>
      <c r="F395" s="218">
        <f t="shared" si="25"/>
        <v>0</v>
      </c>
      <c r="G395" s="218">
        <f t="shared" si="26"/>
        <v>0</v>
      </c>
    </row>
    <row r="396" spans="1:7">
      <c r="A396" s="217">
        <f t="shared" si="27"/>
        <v>1900</v>
      </c>
      <c r="B396" s="216">
        <f t="shared" si="28"/>
        <v>99.1</v>
      </c>
      <c r="C396" s="218">
        <f t="shared" si="29"/>
        <v>0</v>
      </c>
      <c r="D396" s="219">
        <f>INDEX('Step 4 Stage Discharge'!E$26:F$126,MATCH(C396,'Step 4 Stage Discharge'!E$26:E$126,1),2)+(INDEX('Step 4 Stage Discharge'!E$26:F$126,MATCH(C396,'Step 4 Stage Discharge'!E$26:E$126,1)+1,2)-INDEX('Step 4 Stage Discharge'!E$26:F$126,MATCH(C396,'Step 4 Stage Discharge'!E$26:E$126,1),2))*(C396-INDEX('Step 4 Stage Discharge'!E$26:F$126,MATCH(C396,'Step 4 Stage Discharge'!E$26:E$126,1),1))/(INDEX('Step 4 Stage Discharge'!E$26:F$126,MATCH(C396,'Step 4 Stage Discharge'!E$26:E$126,1)+1,1)-INDEX('Step 4 Stage Discharge'!E$26:F$126,MATCH(C396,'Step 4 Stage Discharge'!E$26:E$126,1),1))</f>
        <v>0</v>
      </c>
      <c r="E396" s="219">
        <f>INDEX('Step 4 Stage Discharge'!E$26:M$126,MATCH(C396,'Step 4 Stage Discharge'!E$26:E$126,1),9)+(INDEX('Step 4 Stage Discharge'!E$26:M$126,MATCH('Step 6 Quality Check'!C396,'Step 4 Stage Discharge'!E$26:E$126,1)+1,9)-INDEX('Step 4 Stage Discharge'!E$26:M$126,MATCH('Step 6 Quality Check'!C396,'Step 4 Stage Discharge'!E$26:E$126,1),9))*('Step 6 Quality Check'!C396-INDEX('Step 4 Stage Discharge'!E$26:M$126,MATCH('Step 6 Quality Check'!C396,'Step 4 Stage Discharge'!E$26:E$126,1),1))/(INDEX('Step 4 Stage Discharge'!E$26:M$126,MATCH('Step 6 Quality Check'!C396,'Step 4 Stage Discharge'!E$26:E$126,1)+1,1)-INDEX('Step 4 Stage Discharge'!E$26:M$126,MATCH('Step 6 Quality Check'!C396,'Step 4 Stage Discharge'!E$26:E$126,1),1))</f>
        <v>4.3639431710317386E-3</v>
      </c>
      <c r="F396" s="218">
        <f t="shared" si="25"/>
        <v>0</v>
      </c>
      <c r="G396" s="218">
        <f t="shared" si="26"/>
        <v>0</v>
      </c>
    </row>
    <row r="397" spans="1:7">
      <c r="A397" s="217">
        <f t="shared" si="27"/>
        <v>1905</v>
      </c>
      <c r="B397" s="216">
        <f t="shared" si="28"/>
        <v>99.1</v>
      </c>
      <c r="C397" s="218">
        <f t="shared" si="29"/>
        <v>0</v>
      </c>
      <c r="D397" s="219">
        <f>INDEX('Step 4 Stage Discharge'!E$26:F$126,MATCH(C397,'Step 4 Stage Discharge'!E$26:E$126,1),2)+(INDEX('Step 4 Stage Discharge'!E$26:F$126,MATCH(C397,'Step 4 Stage Discharge'!E$26:E$126,1)+1,2)-INDEX('Step 4 Stage Discharge'!E$26:F$126,MATCH(C397,'Step 4 Stage Discharge'!E$26:E$126,1),2))*(C397-INDEX('Step 4 Stage Discharge'!E$26:F$126,MATCH(C397,'Step 4 Stage Discharge'!E$26:E$126,1),1))/(INDEX('Step 4 Stage Discharge'!E$26:F$126,MATCH(C397,'Step 4 Stage Discharge'!E$26:E$126,1)+1,1)-INDEX('Step 4 Stage Discharge'!E$26:F$126,MATCH(C397,'Step 4 Stage Discharge'!E$26:E$126,1),1))</f>
        <v>0</v>
      </c>
      <c r="E397" s="219">
        <f>INDEX('Step 4 Stage Discharge'!E$26:M$126,MATCH(C397,'Step 4 Stage Discharge'!E$26:E$126,1),9)+(INDEX('Step 4 Stage Discharge'!E$26:M$126,MATCH('Step 6 Quality Check'!C397,'Step 4 Stage Discharge'!E$26:E$126,1)+1,9)-INDEX('Step 4 Stage Discharge'!E$26:M$126,MATCH('Step 6 Quality Check'!C397,'Step 4 Stage Discharge'!E$26:E$126,1),9))*('Step 6 Quality Check'!C397-INDEX('Step 4 Stage Discharge'!E$26:M$126,MATCH('Step 6 Quality Check'!C397,'Step 4 Stage Discharge'!E$26:E$126,1),1))/(INDEX('Step 4 Stage Discharge'!E$26:M$126,MATCH('Step 6 Quality Check'!C397,'Step 4 Stage Discharge'!E$26:E$126,1)+1,1)-INDEX('Step 4 Stage Discharge'!E$26:M$126,MATCH('Step 6 Quality Check'!C397,'Step 4 Stage Discharge'!E$26:E$126,1),1))</f>
        <v>4.3639431710317386E-3</v>
      </c>
      <c r="F397" s="218">
        <f t="shared" si="25"/>
        <v>0</v>
      </c>
      <c r="G397" s="218">
        <f t="shared" si="26"/>
        <v>0</v>
      </c>
    </row>
    <row r="398" spans="1:7">
      <c r="A398" s="217">
        <f t="shared" si="27"/>
        <v>1910</v>
      </c>
      <c r="B398" s="216">
        <f t="shared" si="28"/>
        <v>99.1</v>
      </c>
      <c r="C398" s="218">
        <f t="shared" si="29"/>
        <v>0</v>
      </c>
      <c r="D398" s="219">
        <f>INDEX('Step 4 Stage Discharge'!E$26:F$126,MATCH(C398,'Step 4 Stage Discharge'!E$26:E$126,1),2)+(INDEX('Step 4 Stage Discharge'!E$26:F$126,MATCH(C398,'Step 4 Stage Discharge'!E$26:E$126,1)+1,2)-INDEX('Step 4 Stage Discharge'!E$26:F$126,MATCH(C398,'Step 4 Stage Discharge'!E$26:E$126,1),2))*(C398-INDEX('Step 4 Stage Discharge'!E$26:F$126,MATCH(C398,'Step 4 Stage Discharge'!E$26:E$126,1),1))/(INDEX('Step 4 Stage Discharge'!E$26:F$126,MATCH(C398,'Step 4 Stage Discharge'!E$26:E$126,1)+1,1)-INDEX('Step 4 Stage Discharge'!E$26:F$126,MATCH(C398,'Step 4 Stage Discharge'!E$26:E$126,1),1))</f>
        <v>0</v>
      </c>
      <c r="E398" s="219">
        <f>INDEX('Step 4 Stage Discharge'!E$26:M$126,MATCH(C398,'Step 4 Stage Discharge'!E$26:E$126,1),9)+(INDEX('Step 4 Stage Discharge'!E$26:M$126,MATCH('Step 6 Quality Check'!C398,'Step 4 Stage Discharge'!E$26:E$126,1)+1,9)-INDEX('Step 4 Stage Discharge'!E$26:M$126,MATCH('Step 6 Quality Check'!C398,'Step 4 Stage Discharge'!E$26:E$126,1),9))*('Step 6 Quality Check'!C398-INDEX('Step 4 Stage Discharge'!E$26:M$126,MATCH('Step 6 Quality Check'!C398,'Step 4 Stage Discharge'!E$26:E$126,1),1))/(INDEX('Step 4 Stage Discharge'!E$26:M$126,MATCH('Step 6 Quality Check'!C398,'Step 4 Stage Discharge'!E$26:E$126,1)+1,1)-INDEX('Step 4 Stage Discharge'!E$26:M$126,MATCH('Step 6 Quality Check'!C398,'Step 4 Stage Discharge'!E$26:E$126,1),1))</f>
        <v>4.3639431710317386E-3</v>
      </c>
      <c r="F398" s="218">
        <f t="shared" si="25"/>
        <v>0</v>
      </c>
      <c r="G398" s="218">
        <f t="shared" si="26"/>
        <v>0</v>
      </c>
    </row>
    <row r="399" spans="1:7">
      <c r="A399" s="217">
        <f t="shared" si="27"/>
        <v>1915</v>
      </c>
      <c r="B399" s="216">
        <f t="shared" si="28"/>
        <v>99.1</v>
      </c>
      <c r="C399" s="218">
        <f t="shared" si="29"/>
        <v>0</v>
      </c>
      <c r="D399" s="219">
        <f>INDEX('Step 4 Stage Discharge'!E$26:F$126,MATCH(C399,'Step 4 Stage Discharge'!E$26:E$126,1),2)+(INDEX('Step 4 Stage Discharge'!E$26:F$126,MATCH(C399,'Step 4 Stage Discharge'!E$26:E$126,1)+1,2)-INDEX('Step 4 Stage Discharge'!E$26:F$126,MATCH(C399,'Step 4 Stage Discharge'!E$26:E$126,1),2))*(C399-INDEX('Step 4 Stage Discharge'!E$26:F$126,MATCH(C399,'Step 4 Stage Discharge'!E$26:E$126,1),1))/(INDEX('Step 4 Stage Discharge'!E$26:F$126,MATCH(C399,'Step 4 Stage Discharge'!E$26:E$126,1)+1,1)-INDEX('Step 4 Stage Discharge'!E$26:F$126,MATCH(C399,'Step 4 Stage Discharge'!E$26:E$126,1),1))</f>
        <v>0</v>
      </c>
      <c r="E399" s="219">
        <f>INDEX('Step 4 Stage Discharge'!E$26:M$126,MATCH(C399,'Step 4 Stage Discharge'!E$26:E$126,1),9)+(INDEX('Step 4 Stage Discharge'!E$26:M$126,MATCH('Step 6 Quality Check'!C399,'Step 4 Stage Discharge'!E$26:E$126,1)+1,9)-INDEX('Step 4 Stage Discharge'!E$26:M$126,MATCH('Step 6 Quality Check'!C399,'Step 4 Stage Discharge'!E$26:E$126,1),9))*('Step 6 Quality Check'!C399-INDEX('Step 4 Stage Discharge'!E$26:M$126,MATCH('Step 6 Quality Check'!C399,'Step 4 Stage Discharge'!E$26:E$126,1),1))/(INDEX('Step 4 Stage Discharge'!E$26:M$126,MATCH('Step 6 Quality Check'!C399,'Step 4 Stage Discharge'!E$26:E$126,1)+1,1)-INDEX('Step 4 Stage Discharge'!E$26:M$126,MATCH('Step 6 Quality Check'!C399,'Step 4 Stage Discharge'!E$26:E$126,1),1))</f>
        <v>4.3639431710317386E-3</v>
      </c>
      <c r="F399" s="218">
        <f t="shared" si="25"/>
        <v>0</v>
      </c>
      <c r="G399" s="218">
        <f t="shared" si="26"/>
        <v>0</v>
      </c>
    </row>
    <row r="400" spans="1:7">
      <c r="A400" s="217">
        <f t="shared" si="27"/>
        <v>1920</v>
      </c>
      <c r="B400" s="216">
        <f t="shared" si="28"/>
        <v>99.1</v>
      </c>
      <c r="C400" s="218">
        <f t="shared" si="29"/>
        <v>0</v>
      </c>
      <c r="D400" s="219">
        <f>INDEX('Step 4 Stage Discharge'!E$26:F$126,MATCH(C400,'Step 4 Stage Discharge'!E$26:E$126,1),2)+(INDEX('Step 4 Stage Discharge'!E$26:F$126,MATCH(C400,'Step 4 Stage Discharge'!E$26:E$126,1)+1,2)-INDEX('Step 4 Stage Discharge'!E$26:F$126,MATCH(C400,'Step 4 Stage Discharge'!E$26:E$126,1),2))*(C400-INDEX('Step 4 Stage Discharge'!E$26:F$126,MATCH(C400,'Step 4 Stage Discharge'!E$26:E$126,1),1))/(INDEX('Step 4 Stage Discharge'!E$26:F$126,MATCH(C400,'Step 4 Stage Discharge'!E$26:E$126,1)+1,1)-INDEX('Step 4 Stage Discharge'!E$26:F$126,MATCH(C400,'Step 4 Stage Discharge'!E$26:E$126,1),1))</f>
        <v>0</v>
      </c>
      <c r="E400" s="219">
        <f>INDEX('Step 4 Stage Discharge'!E$26:M$126,MATCH(C400,'Step 4 Stage Discharge'!E$26:E$126,1),9)+(INDEX('Step 4 Stage Discharge'!E$26:M$126,MATCH('Step 6 Quality Check'!C400,'Step 4 Stage Discharge'!E$26:E$126,1)+1,9)-INDEX('Step 4 Stage Discharge'!E$26:M$126,MATCH('Step 6 Quality Check'!C400,'Step 4 Stage Discharge'!E$26:E$126,1),9))*('Step 6 Quality Check'!C400-INDEX('Step 4 Stage Discharge'!E$26:M$126,MATCH('Step 6 Quality Check'!C400,'Step 4 Stage Discharge'!E$26:E$126,1),1))/(INDEX('Step 4 Stage Discharge'!E$26:M$126,MATCH('Step 6 Quality Check'!C400,'Step 4 Stage Discharge'!E$26:E$126,1)+1,1)-INDEX('Step 4 Stage Discharge'!E$26:M$126,MATCH('Step 6 Quality Check'!C400,'Step 4 Stage Discharge'!E$26:E$126,1),1))</f>
        <v>4.3639431710317386E-3</v>
      </c>
      <c r="F400" s="218">
        <f t="shared" ref="F400:F463" si="30">IF(E400*60*C$9&gt;C400,C400,E400*60*C$9)</f>
        <v>0</v>
      </c>
      <c r="G400" s="218">
        <f t="shared" ref="G400:G463" si="31">IF(C400-F400&lt;0,0,C400-F400)</f>
        <v>0</v>
      </c>
    </row>
    <row r="401" spans="1:7">
      <c r="A401" s="217">
        <f t="shared" ref="A401:A464" si="32">+A400+C$9</f>
        <v>1925</v>
      </c>
      <c r="B401" s="216">
        <f t="shared" si="28"/>
        <v>99.1</v>
      </c>
      <c r="C401" s="218">
        <f t="shared" si="29"/>
        <v>0</v>
      </c>
      <c r="D401" s="219">
        <f>INDEX('Step 4 Stage Discharge'!E$26:F$126,MATCH(C401,'Step 4 Stage Discharge'!E$26:E$126,1),2)+(INDEX('Step 4 Stage Discharge'!E$26:F$126,MATCH(C401,'Step 4 Stage Discharge'!E$26:E$126,1)+1,2)-INDEX('Step 4 Stage Discharge'!E$26:F$126,MATCH(C401,'Step 4 Stage Discharge'!E$26:E$126,1),2))*(C401-INDEX('Step 4 Stage Discharge'!E$26:F$126,MATCH(C401,'Step 4 Stage Discharge'!E$26:E$126,1),1))/(INDEX('Step 4 Stage Discharge'!E$26:F$126,MATCH(C401,'Step 4 Stage Discharge'!E$26:E$126,1)+1,1)-INDEX('Step 4 Stage Discharge'!E$26:F$126,MATCH(C401,'Step 4 Stage Discharge'!E$26:E$126,1),1))</f>
        <v>0</v>
      </c>
      <c r="E401" s="219">
        <f>INDEX('Step 4 Stage Discharge'!E$26:M$126,MATCH(C401,'Step 4 Stage Discharge'!E$26:E$126,1),9)+(INDEX('Step 4 Stage Discharge'!E$26:M$126,MATCH('Step 6 Quality Check'!C401,'Step 4 Stage Discharge'!E$26:E$126,1)+1,9)-INDEX('Step 4 Stage Discharge'!E$26:M$126,MATCH('Step 6 Quality Check'!C401,'Step 4 Stage Discharge'!E$26:E$126,1),9))*('Step 6 Quality Check'!C401-INDEX('Step 4 Stage Discharge'!E$26:M$126,MATCH('Step 6 Quality Check'!C401,'Step 4 Stage Discharge'!E$26:E$126,1),1))/(INDEX('Step 4 Stage Discharge'!E$26:M$126,MATCH('Step 6 Quality Check'!C401,'Step 4 Stage Discharge'!E$26:E$126,1)+1,1)-INDEX('Step 4 Stage Discharge'!E$26:M$126,MATCH('Step 6 Quality Check'!C401,'Step 4 Stage Discharge'!E$26:E$126,1),1))</f>
        <v>4.3639431710317386E-3</v>
      </c>
      <c r="F401" s="218">
        <f t="shared" si="30"/>
        <v>0</v>
      </c>
      <c r="G401" s="218">
        <f t="shared" si="31"/>
        <v>0</v>
      </c>
    </row>
    <row r="402" spans="1:7">
      <c r="A402" s="217">
        <f t="shared" si="32"/>
        <v>1930</v>
      </c>
      <c r="B402" s="216">
        <f t="shared" ref="B402:B465" si="33">C$6+D402</f>
        <v>99.1</v>
      </c>
      <c r="C402" s="218">
        <f t="shared" ref="C402:C465" si="34">+G401</f>
        <v>0</v>
      </c>
      <c r="D402" s="219">
        <f>INDEX('Step 4 Stage Discharge'!E$26:F$126,MATCH(C402,'Step 4 Stage Discharge'!E$26:E$126,1),2)+(INDEX('Step 4 Stage Discharge'!E$26:F$126,MATCH(C402,'Step 4 Stage Discharge'!E$26:E$126,1)+1,2)-INDEX('Step 4 Stage Discharge'!E$26:F$126,MATCH(C402,'Step 4 Stage Discharge'!E$26:E$126,1),2))*(C402-INDEX('Step 4 Stage Discharge'!E$26:F$126,MATCH(C402,'Step 4 Stage Discharge'!E$26:E$126,1),1))/(INDEX('Step 4 Stage Discharge'!E$26:F$126,MATCH(C402,'Step 4 Stage Discharge'!E$26:E$126,1)+1,1)-INDEX('Step 4 Stage Discharge'!E$26:F$126,MATCH(C402,'Step 4 Stage Discharge'!E$26:E$126,1),1))</f>
        <v>0</v>
      </c>
      <c r="E402" s="219">
        <f>INDEX('Step 4 Stage Discharge'!E$26:M$126,MATCH(C402,'Step 4 Stage Discharge'!E$26:E$126,1),9)+(INDEX('Step 4 Stage Discharge'!E$26:M$126,MATCH('Step 6 Quality Check'!C402,'Step 4 Stage Discharge'!E$26:E$126,1)+1,9)-INDEX('Step 4 Stage Discharge'!E$26:M$126,MATCH('Step 6 Quality Check'!C402,'Step 4 Stage Discharge'!E$26:E$126,1),9))*('Step 6 Quality Check'!C402-INDEX('Step 4 Stage Discharge'!E$26:M$126,MATCH('Step 6 Quality Check'!C402,'Step 4 Stage Discharge'!E$26:E$126,1),1))/(INDEX('Step 4 Stage Discharge'!E$26:M$126,MATCH('Step 6 Quality Check'!C402,'Step 4 Stage Discharge'!E$26:E$126,1)+1,1)-INDEX('Step 4 Stage Discharge'!E$26:M$126,MATCH('Step 6 Quality Check'!C402,'Step 4 Stage Discharge'!E$26:E$126,1),1))</f>
        <v>4.3639431710317386E-3</v>
      </c>
      <c r="F402" s="218">
        <f t="shared" si="30"/>
        <v>0</v>
      </c>
      <c r="G402" s="218">
        <f t="shared" si="31"/>
        <v>0</v>
      </c>
    </row>
    <row r="403" spans="1:7">
      <c r="A403" s="217">
        <f t="shared" si="32"/>
        <v>1935</v>
      </c>
      <c r="B403" s="216">
        <f t="shared" si="33"/>
        <v>99.1</v>
      </c>
      <c r="C403" s="218">
        <f t="shared" si="34"/>
        <v>0</v>
      </c>
      <c r="D403" s="219">
        <f>INDEX('Step 4 Stage Discharge'!E$26:F$126,MATCH(C403,'Step 4 Stage Discharge'!E$26:E$126,1),2)+(INDEX('Step 4 Stage Discharge'!E$26:F$126,MATCH(C403,'Step 4 Stage Discharge'!E$26:E$126,1)+1,2)-INDEX('Step 4 Stage Discharge'!E$26:F$126,MATCH(C403,'Step 4 Stage Discharge'!E$26:E$126,1),2))*(C403-INDEX('Step 4 Stage Discharge'!E$26:F$126,MATCH(C403,'Step 4 Stage Discharge'!E$26:E$126,1),1))/(INDEX('Step 4 Stage Discharge'!E$26:F$126,MATCH(C403,'Step 4 Stage Discharge'!E$26:E$126,1)+1,1)-INDEX('Step 4 Stage Discharge'!E$26:F$126,MATCH(C403,'Step 4 Stage Discharge'!E$26:E$126,1),1))</f>
        <v>0</v>
      </c>
      <c r="E403" s="219">
        <f>INDEX('Step 4 Stage Discharge'!E$26:M$126,MATCH(C403,'Step 4 Stage Discharge'!E$26:E$126,1),9)+(INDEX('Step 4 Stage Discharge'!E$26:M$126,MATCH('Step 6 Quality Check'!C403,'Step 4 Stage Discharge'!E$26:E$126,1)+1,9)-INDEX('Step 4 Stage Discharge'!E$26:M$126,MATCH('Step 6 Quality Check'!C403,'Step 4 Stage Discharge'!E$26:E$126,1),9))*('Step 6 Quality Check'!C403-INDEX('Step 4 Stage Discharge'!E$26:M$126,MATCH('Step 6 Quality Check'!C403,'Step 4 Stage Discharge'!E$26:E$126,1),1))/(INDEX('Step 4 Stage Discharge'!E$26:M$126,MATCH('Step 6 Quality Check'!C403,'Step 4 Stage Discharge'!E$26:E$126,1)+1,1)-INDEX('Step 4 Stage Discharge'!E$26:M$126,MATCH('Step 6 Quality Check'!C403,'Step 4 Stage Discharge'!E$26:E$126,1),1))</f>
        <v>4.3639431710317386E-3</v>
      </c>
      <c r="F403" s="218">
        <f t="shared" si="30"/>
        <v>0</v>
      </c>
      <c r="G403" s="218">
        <f t="shared" si="31"/>
        <v>0</v>
      </c>
    </row>
    <row r="404" spans="1:7">
      <c r="A404" s="217">
        <f t="shared" si="32"/>
        <v>1940</v>
      </c>
      <c r="B404" s="216">
        <f t="shared" si="33"/>
        <v>99.1</v>
      </c>
      <c r="C404" s="218">
        <f t="shared" si="34"/>
        <v>0</v>
      </c>
      <c r="D404" s="219">
        <f>INDEX('Step 4 Stage Discharge'!E$26:F$126,MATCH(C404,'Step 4 Stage Discharge'!E$26:E$126,1),2)+(INDEX('Step 4 Stage Discharge'!E$26:F$126,MATCH(C404,'Step 4 Stage Discharge'!E$26:E$126,1)+1,2)-INDEX('Step 4 Stage Discharge'!E$26:F$126,MATCH(C404,'Step 4 Stage Discharge'!E$26:E$126,1),2))*(C404-INDEX('Step 4 Stage Discharge'!E$26:F$126,MATCH(C404,'Step 4 Stage Discharge'!E$26:E$126,1),1))/(INDEX('Step 4 Stage Discharge'!E$26:F$126,MATCH(C404,'Step 4 Stage Discharge'!E$26:E$126,1)+1,1)-INDEX('Step 4 Stage Discharge'!E$26:F$126,MATCH(C404,'Step 4 Stage Discharge'!E$26:E$126,1),1))</f>
        <v>0</v>
      </c>
      <c r="E404" s="219">
        <f>INDEX('Step 4 Stage Discharge'!E$26:M$126,MATCH(C404,'Step 4 Stage Discharge'!E$26:E$126,1),9)+(INDEX('Step 4 Stage Discharge'!E$26:M$126,MATCH('Step 6 Quality Check'!C404,'Step 4 Stage Discharge'!E$26:E$126,1)+1,9)-INDEX('Step 4 Stage Discharge'!E$26:M$126,MATCH('Step 6 Quality Check'!C404,'Step 4 Stage Discharge'!E$26:E$126,1),9))*('Step 6 Quality Check'!C404-INDEX('Step 4 Stage Discharge'!E$26:M$126,MATCH('Step 6 Quality Check'!C404,'Step 4 Stage Discharge'!E$26:E$126,1),1))/(INDEX('Step 4 Stage Discharge'!E$26:M$126,MATCH('Step 6 Quality Check'!C404,'Step 4 Stage Discharge'!E$26:E$126,1)+1,1)-INDEX('Step 4 Stage Discharge'!E$26:M$126,MATCH('Step 6 Quality Check'!C404,'Step 4 Stage Discharge'!E$26:E$126,1),1))</f>
        <v>4.3639431710317386E-3</v>
      </c>
      <c r="F404" s="218">
        <f t="shared" si="30"/>
        <v>0</v>
      </c>
      <c r="G404" s="218">
        <f t="shared" si="31"/>
        <v>0</v>
      </c>
    </row>
    <row r="405" spans="1:7">
      <c r="A405" s="217">
        <f t="shared" si="32"/>
        <v>1945</v>
      </c>
      <c r="B405" s="216">
        <f t="shared" si="33"/>
        <v>99.1</v>
      </c>
      <c r="C405" s="218">
        <f t="shared" si="34"/>
        <v>0</v>
      </c>
      <c r="D405" s="219">
        <f>INDEX('Step 4 Stage Discharge'!E$26:F$126,MATCH(C405,'Step 4 Stage Discharge'!E$26:E$126,1),2)+(INDEX('Step 4 Stage Discharge'!E$26:F$126,MATCH(C405,'Step 4 Stage Discharge'!E$26:E$126,1)+1,2)-INDEX('Step 4 Stage Discharge'!E$26:F$126,MATCH(C405,'Step 4 Stage Discharge'!E$26:E$126,1),2))*(C405-INDEX('Step 4 Stage Discharge'!E$26:F$126,MATCH(C405,'Step 4 Stage Discharge'!E$26:E$126,1),1))/(INDEX('Step 4 Stage Discharge'!E$26:F$126,MATCH(C405,'Step 4 Stage Discharge'!E$26:E$126,1)+1,1)-INDEX('Step 4 Stage Discharge'!E$26:F$126,MATCH(C405,'Step 4 Stage Discharge'!E$26:E$126,1),1))</f>
        <v>0</v>
      </c>
      <c r="E405" s="219">
        <f>INDEX('Step 4 Stage Discharge'!E$26:M$126,MATCH(C405,'Step 4 Stage Discharge'!E$26:E$126,1),9)+(INDEX('Step 4 Stage Discharge'!E$26:M$126,MATCH('Step 6 Quality Check'!C405,'Step 4 Stage Discharge'!E$26:E$126,1)+1,9)-INDEX('Step 4 Stage Discharge'!E$26:M$126,MATCH('Step 6 Quality Check'!C405,'Step 4 Stage Discharge'!E$26:E$126,1),9))*('Step 6 Quality Check'!C405-INDEX('Step 4 Stage Discharge'!E$26:M$126,MATCH('Step 6 Quality Check'!C405,'Step 4 Stage Discharge'!E$26:E$126,1),1))/(INDEX('Step 4 Stage Discharge'!E$26:M$126,MATCH('Step 6 Quality Check'!C405,'Step 4 Stage Discharge'!E$26:E$126,1)+1,1)-INDEX('Step 4 Stage Discharge'!E$26:M$126,MATCH('Step 6 Quality Check'!C405,'Step 4 Stage Discharge'!E$26:E$126,1),1))</f>
        <v>4.3639431710317386E-3</v>
      </c>
      <c r="F405" s="218">
        <f t="shared" si="30"/>
        <v>0</v>
      </c>
      <c r="G405" s="218">
        <f t="shared" si="31"/>
        <v>0</v>
      </c>
    </row>
    <row r="406" spans="1:7">
      <c r="A406" s="217">
        <f t="shared" si="32"/>
        <v>1950</v>
      </c>
      <c r="B406" s="216">
        <f t="shared" si="33"/>
        <v>99.1</v>
      </c>
      <c r="C406" s="218">
        <f t="shared" si="34"/>
        <v>0</v>
      </c>
      <c r="D406" s="219">
        <f>INDEX('Step 4 Stage Discharge'!E$26:F$126,MATCH(C406,'Step 4 Stage Discharge'!E$26:E$126,1),2)+(INDEX('Step 4 Stage Discharge'!E$26:F$126,MATCH(C406,'Step 4 Stage Discharge'!E$26:E$126,1)+1,2)-INDEX('Step 4 Stage Discharge'!E$26:F$126,MATCH(C406,'Step 4 Stage Discharge'!E$26:E$126,1),2))*(C406-INDEX('Step 4 Stage Discharge'!E$26:F$126,MATCH(C406,'Step 4 Stage Discharge'!E$26:E$126,1),1))/(INDEX('Step 4 Stage Discharge'!E$26:F$126,MATCH(C406,'Step 4 Stage Discharge'!E$26:E$126,1)+1,1)-INDEX('Step 4 Stage Discharge'!E$26:F$126,MATCH(C406,'Step 4 Stage Discharge'!E$26:E$126,1),1))</f>
        <v>0</v>
      </c>
      <c r="E406" s="219">
        <f>INDEX('Step 4 Stage Discharge'!E$26:M$126,MATCH(C406,'Step 4 Stage Discharge'!E$26:E$126,1),9)+(INDEX('Step 4 Stage Discharge'!E$26:M$126,MATCH('Step 6 Quality Check'!C406,'Step 4 Stage Discharge'!E$26:E$126,1)+1,9)-INDEX('Step 4 Stage Discharge'!E$26:M$126,MATCH('Step 6 Quality Check'!C406,'Step 4 Stage Discharge'!E$26:E$126,1),9))*('Step 6 Quality Check'!C406-INDEX('Step 4 Stage Discharge'!E$26:M$126,MATCH('Step 6 Quality Check'!C406,'Step 4 Stage Discharge'!E$26:E$126,1),1))/(INDEX('Step 4 Stage Discharge'!E$26:M$126,MATCH('Step 6 Quality Check'!C406,'Step 4 Stage Discharge'!E$26:E$126,1)+1,1)-INDEX('Step 4 Stage Discharge'!E$26:M$126,MATCH('Step 6 Quality Check'!C406,'Step 4 Stage Discharge'!E$26:E$126,1),1))</f>
        <v>4.3639431710317386E-3</v>
      </c>
      <c r="F406" s="218">
        <f t="shared" si="30"/>
        <v>0</v>
      </c>
      <c r="G406" s="218">
        <f t="shared" si="31"/>
        <v>0</v>
      </c>
    </row>
    <row r="407" spans="1:7">
      <c r="A407" s="217">
        <f t="shared" si="32"/>
        <v>1955</v>
      </c>
      <c r="B407" s="216">
        <f t="shared" si="33"/>
        <v>99.1</v>
      </c>
      <c r="C407" s="218">
        <f t="shared" si="34"/>
        <v>0</v>
      </c>
      <c r="D407" s="219">
        <f>INDEX('Step 4 Stage Discharge'!E$26:F$126,MATCH(C407,'Step 4 Stage Discharge'!E$26:E$126,1),2)+(INDEX('Step 4 Stage Discharge'!E$26:F$126,MATCH(C407,'Step 4 Stage Discharge'!E$26:E$126,1)+1,2)-INDEX('Step 4 Stage Discharge'!E$26:F$126,MATCH(C407,'Step 4 Stage Discharge'!E$26:E$126,1),2))*(C407-INDEX('Step 4 Stage Discharge'!E$26:F$126,MATCH(C407,'Step 4 Stage Discharge'!E$26:E$126,1),1))/(INDEX('Step 4 Stage Discharge'!E$26:F$126,MATCH(C407,'Step 4 Stage Discharge'!E$26:E$126,1)+1,1)-INDEX('Step 4 Stage Discharge'!E$26:F$126,MATCH(C407,'Step 4 Stage Discharge'!E$26:E$126,1),1))</f>
        <v>0</v>
      </c>
      <c r="E407" s="219">
        <f>INDEX('Step 4 Stage Discharge'!E$26:M$126,MATCH(C407,'Step 4 Stage Discharge'!E$26:E$126,1),9)+(INDEX('Step 4 Stage Discharge'!E$26:M$126,MATCH('Step 6 Quality Check'!C407,'Step 4 Stage Discharge'!E$26:E$126,1)+1,9)-INDEX('Step 4 Stage Discharge'!E$26:M$126,MATCH('Step 6 Quality Check'!C407,'Step 4 Stage Discharge'!E$26:E$126,1),9))*('Step 6 Quality Check'!C407-INDEX('Step 4 Stage Discharge'!E$26:M$126,MATCH('Step 6 Quality Check'!C407,'Step 4 Stage Discharge'!E$26:E$126,1),1))/(INDEX('Step 4 Stage Discharge'!E$26:M$126,MATCH('Step 6 Quality Check'!C407,'Step 4 Stage Discharge'!E$26:E$126,1)+1,1)-INDEX('Step 4 Stage Discharge'!E$26:M$126,MATCH('Step 6 Quality Check'!C407,'Step 4 Stage Discharge'!E$26:E$126,1),1))</f>
        <v>4.3639431710317386E-3</v>
      </c>
      <c r="F407" s="218">
        <f t="shared" si="30"/>
        <v>0</v>
      </c>
      <c r="G407" s="218">
        <f t="shared" si="31"/>
        <v>0</v>
      </c>
    </row>
    <row r="408" spans="1:7">
      <c r="A408" s="217">
        <f t="shared" si="32"/>
        <v>1960</v>
      </c>
      <c r="B408" s="216">
        <f t="shared" si="33"/>
        <v>99.1</v>
      </c>
      <c r="C408" s="218">
        <f t="shared" si="34"/>
        <v>0</v>
      </c>
      <c r="D408" s="219">
        <f>INDEX('Step 4 Stage Discharge'!E$26:F$126,MATCH(C408,'Step 4 Stage Discharge'!E$26:E$126,1),2)+(INDEX('Step 4 Stage Discharge'!E$26:F$126,MATCH(C408,'Step 4 Stage Discharge'!E$26:E$126,1)+1,2)-INDEX('Step 4 Stage Discharge'!E$26:F$126,MATCH(C408,'Step 4 Stage Discharge'!E$26:E$126,1),2))*(C408-INDEX('Step 4 Stage Discharge'!E$26:F$126,MATCH(C408,'Step 4 Stage Discharge'!E$26:E$126,1),1))/(INDEX('Step 4 Stage Discharge'!E$26:F$126,MATCH(C408,'Step 4 Stage Discharge'!E$26:E$126,1)+1,1)-INDEX('Step 4 Stage Discharge'!E$26:F$126,MATCH(C408,'Step 4 Stage Discharge'!E$26:E$126,1),1))</f>
        <v>0</v>
      </c>
      <c r="E408" s="219">
        <f>INDEX('Step 4 Stage Discharge'!E$26:M$126,MATCH(C408,'Step 4 Stage Discharge'!E$26:E$126,1),9)+(INDEX('Step 4 Stage Discharge'!E$26:M$126,MATCH('Step 6 Quality Check'!C408,'Step 4 Stage Discharge'!E$26:E$126,1)+1,9)-INDEX('Step 4 Stage Discharge'!E$26:M$126,MATCH('Step 6 Quality Check'!C408,'Step 4 Stage Discharge'!E$26:E$126,1),9))*('Step 6 Quality Check'!C408-INDEX('Step 4 Stage Discharge'!E$26:M$126,MATCH('Step 6 Quality Check'!C408,'Step 4 Stage Discharge'!E$26:E$126,1),1))/(INDEX('Step 4 Stage Discharge'!E$26:M$126,MATCH('Step 6 Quality Check'!C408,'Step 4 Stage Discharge'!E$26:E$126,1)+1,1)-INDEX('Step 4 Stage Discharge'!E$26:M$126,MATCH('Step 6 Quality Check'!C408,'Step 4 Stage Discharge'!E$26:E$126,1),1))</f>
        <v>4.3639431710317386E-3</v>
      </c>
      <c r="F408" s="218">
        <f t="shared" si="30"/>
        <v>0</v>
      </c>
      <c r="G408" s="218">
        <f t="shared" si="31"/>
        <v>0</v>
      </c>
    </row>
    <row r="409" spans="1:7">
      <c r="A409" s="217">
        <f t="shared" si="32"/>
        <v>1965</v>
      </c>
      <c r="B409" s="216">
        <f t="shared" si="33"/>
        <v>99.1</v>
      </c>
      <c r="C409" s="218">
        <f t="shared" si="34"/>
        <v>0</v>
      </c>
      <c r="D409" s="219">
        <f>INDEX('Step 4 Stage Discharge'!E$26:F$126,MATCH(C409,'Step 4 Stage Discharge'!E$26:E$126,1),2)+(INDEX('Step 4 Stage Discharge'!E$26:F$126,MATCH(C409,'Step 4 Stage Discharge'!E$26:E$126,1)+1,2)-INDEX('Step 4 Stage Discharge'!E$26:F$126,MATCH(C409,'Step 4 Stage Discharge'!E$26:E$126,1),2))*(C409-INDEX('Step 4 Stage Discharge'!E$26:F$126,MATCH(C409,'Step 4 Stage Discharge'!E$26:E$126,1),1))/(INDEX('Step 4 Stage Discharge'!E$26:F$126,MATCH(C409,'Step 4 Stage Discharge'!E$26:E$126,1)+1,1)-INDEX('Step 4 Stage Discharge'!E$26:F$126,MATCH(C409,'Step 4 Stage Discharge'!E$26:E$126,1),1))</f>
        <v>0</v>
      </c>
      <c r="E409" s="219">
        <f>INDEX('Step 4 Stage Discharge'!E$26:M$126,MATCH(C409,'Step 4 Stage Discharge'!E$26:E$126,1),9)+(INDEX('Step 4 Stage Discharge'!E$26:M$126,MATCH('Step 6 Quality Check'!C409,'Step 4 Stage Discharge'!E$26:E$126,1)+1,9)-INDEX('Step 4 Stage Discharge'!E$26:M$126,MATCH('Step 6 Quality Check'!C409,'Step 4 Stage Discharge'!E$26:E$126,1),9))*('Step 6 Quality Check'!C409-INDEX('Step 4 Stage Discharge'!E$26:M$126,MATCH('Step 6 Quality Check'!C409,'Step 4 Stage Discharge'!E$26:E$126,1),1))/(INDEX('Step 4 Stage Discharge'!E$26:M$126,MATCH('Step 6 Quality Check'!C409,'Step 4 Stage Discharge'!E$26:E$126,1)+1,1)-INDEX('Step 4 Stage Discharge'!E$26:M$126,MATCH('Step 6 Quality Check'!C409,'Step 4 Stage Discharge'!E$26:E$126,1),1))</f>
        <v>4.3639431710317386E-3</v>
      </c>
      <c r="F409" s="218">
        <f t="shared" si="30"/>
        <v>0</v>
      </c>
      <c r="G409" s="218">
        <f t="shared" si="31"/>
        <v>0</v>
      </c>
    </row>
    <row r="410" spans="1:7">
      <c r="A410" s="217">
        <f t="shared" si="32"/>
        <v>1970</v>
      </c>
      <c r="B410" s="216">
        <f t="shared" si="33"/>
        <v>99.1</v>
      </c>
      <c r="C410" s="218">
        <f t="shared" si="34"/>
        <v>0</v>
      </c>
      <c r="D410" s="219">
        <f>INDEX('Step 4 Stage Discharge'!E$26:F$126,MATCH(C410,'Step 4 Stage Discharge'!E$26:E$126,1),2)+(INDEX('Step 4 Stage Discharge'!E$26:F$126,MATCH(C410,'Step 4 Stage Discharge'!E$26:E$126,1)+1,2)-INDEX('Step 4 Stage Discharge'!E$26:F$126,MATCH(C410,'Step 4 Stage Discharge'!E$26:E$126,1),2))*(C410-INDEX('Step 4 Stage Discharge'!E$26:F$126,MATCH(C410,'Step 4 Stage Discharge'!E$26:E$126,1),1))/(INDEX('Step 4 Stage Discharge'!E$26:F$126,MATCH(C410,'Step 4 Stage Discharge'!E$26:E$126,1)+1,1)-INDEX('Step 4 Stage Discharge'!E$26:F$126,MATCH(C410,'Step 4 Stage Discharge'!E$26:E$126,1),1))</f>
        <v>0</v>
      </c>
      <c r="E410" s="219">
        <f>INDEX('Step 4 Stage Discharge'!E$26:M$126,MATCH(C410,'Step 4 Stage Discharge'!E$26:E$126,1),9)+(INDEX('Step 4 Stage Discharge'!E$26:M$126,MATCH('Step 6 Quality Check'!C410,'Step 4 Stage Discharge'!E$26:E$126,1)+1,9)-INDEX('Step 4 Stage Discharge'!E$26:M$126,MATCH('Step 6 Quality Check'!C410,'Step 4 Stage Discharge'!E$26:E$126,1),9))*('Step 6 Quality Check'!C410-INDEX('Step 4 Stage Discharge'!E$26:M$126,MATCH('Step 6 Quality Check'!C410,'Step 4 Stage Discharge'!E$26:E$126,1),1))/(INDEX('Step 4 Stage Discharge'!E$26:M$126,MATCH('Step 6 Quality Check'!C410,'Step 4 Stage Discharge'!E$26:E$126,1)+1,1)-INDEX('Step 4 Stage Discharge'!E$26:M$126,MATCH('Step 6 Quality Check'!C410,'Step 4 Stage Discharge'!E$26:E$126,1),1))</f>
        <v>4.3639431710317386E-3</v>
      </c>
      <c r="F410" s="218">
        <f t="shared" si="30"/>
        <v>0</v>
      </c>
      <c r="G410" s="218">
        <f t="shared" si="31"/>
        <v>0</v>
      </c>
    </row>
    <row r="411" spans="1:7">
      <c r="A411" s="217">
        <f t="shared" si="32"/>
        <v>1975</v>
      </c>
      <c r="B411" s="216">
        <f t="shared" si="33"/>
        <v>99.1</v>
      </c>
      <c r="C411" s="218">
        <f t="shared" si="34"/>
        <v>0</v>
      </c>
      <c r="D411" s="219">
        <f>INDEX('Step 4 Stage Discharge'!E$26:F$126,MATCH(C411,'Step 4 Stage Discharge'!E$26:E$126,1),2)+(INDEX('Step 4 Stage Discharge'!E$26:F$126,MATCH(C411,'Step 4 Stage Discharge'!E$26:E$126,1)+1,2)-INDEX('Step 4 Stage Discharge'!E$26:F$126,MATCH(C411,'Step 4 Stage Discharge'!E$26:E$126,1),2))*(C411-INDEX('Step 4 Stage Discharge'!E$26:F$126,MATCH(C411,'Step 4 Stage Discharge'!E$26:E$126,1),1))/(INDEX('Step 4 Stage Discharge'!E$26:F$126,MATCH(C411,'Step 4 Stage Discharge'!E$26:E$126,1)+1,1)-INDEX('Step 4 Stage Discharge'!E$26:F$126,MATCH(C411,'Step 4 Stage Discharge'!E$26:E$126,1),1))</f>
        <v>0</v>
      </c>
      <c r="E411" s="219">
        <f>INDEX('Step 4 Stage Discharge'!E$26:M$126,MATCH(C411,'Step 4 Stage Discharge'!E$26:E$126,1),9)+(INDEX('Step 4 Stage Discharge'!E$26:M$126,MATCH('Step 6 Quality Check'!C411,'Step 4 Stage Discharge'!E$26:E$126,1)+1,9)-INDEX('Step 4 Stage Discharge'!E$26:M$126,MATCH('Step 6 Quality Check'!C411,'Step 4 Stage Discharge'!E$26:E$126,1),9))*('Step 6 Quality Check'!C411-INDEX('Step 4 Stage Discharge'!E$26:M$126,MATCH('Step 6 Quality Check'!C411,'Step 4 Stage Discharge'!E$26:E$126,1),1))/(INDEX('Step 4 Stage Discharge'!E$26:M$126,MATCH('Step 6 Quality Check'!C411,'Step 4 Stage Discharge'!E$26:E$126,1)+1,1)-INDEX('Step 4 Stage Discharge'!E$26:M$126,MATCH('Step 6 Quality Check'!C411,'Step 4 Stage Discharge'!E$26:E$126,1),1))</f>
        <v>4.3639431710317386E-3</v>
      </c>
      <c r="F411" s="218">
        <f t="shared" si="30"/>
        <v>0</v>
      </c>
      <c r="G411" s="218">
        <f t="shared" si="31"/>
        <v>0</v>
      </c>
    </row>
    <row r="412" spans="1:7">
      <c r="A412" s="217">
        <f t="shared" si="32"/>
        <v>1980</v>
      </c>
      <c r="B412" s="216">
        <f t="shared" si="33"/>
        <v>99.1</v>
      </c>
      <c r="C412" s="218">
        <f t="shared" si="34"/>
        <v>0</v>
      </c>
      <c r="D412" s="219">
        <f>INDEX('Step 4 Stage Discharge'!E$26:F$126,MATCH(C412,'Step 4 Stage Discharge'!E$26:E$126,1),2)+(INDEX('Step 4 Stage Discharge'!E$26:F$126,MATCH(C412,'Step 4 Stage Discharge'!E$26:E$126,1)+1,2)-INDEX('Step 4 Stage Discharge'!E$26:F$126,MATCH(C412,'Step 4 Stage Discharge'!E$26:E$126,1),2))*(C412-INDEX('Step 4 Stage Discharge'!E$26:F$126,MATCH(C412,'Step 4 Stage Discharge'!E$26:E$126,1),1))/(INDEX('Step 4 Stage Discharge'!E$26:F$126,MATCH(C412,'Step 4 Stage Discharge'!E$26:E$126,1)+1,1)-INDEX('Step 4 Stage Discharge'!E$26:F$126,MATCH(C412,'Step 4 Stage Discharge'!E$26:E$126,1),1))</f>
        <v>0</v>
      </c>
      <c r="E412" s="219">
        <f>INDEX('Step 4 Stage Discharge'!E$26:M$126,MATCH(C412,'Step 4 Stage Discharge'!E$26:E$126,1),9)+(INDEX('Step 4 Stage Discharge'!E$26:M$126,MATCH('Step 6 Quality Check'!C412,'Step 4 Stage Discharge'!E$26:E$126,1)+1,9)-INDEX('Step 4 Stage Discharge'!E$26:M$126,MATCH('Step 6 Quality Check'!C412,'Step 4 Stage Discharge'!E$26:E$126,1),9))*('Step 6 Quality Check'!C412-INDEX('Step 4 Stage Discharge'!E$26:M$126,MATCH('Step 6 Quality Check'!C412,'Step 4 Stage Discharge'!E$26:E$126,1),1))/(INDEX('Step 4 Stage Discharge'!E$26:M$126,MATCH('Step 6 Quality Check'!C412,'Step 4 Stage Discharge'!E$26:E$126,1)+1,1)-INDEX('Step 4 Stage Discharge'!E$26:M$126,MATCH('Step 6 Quality Check'!C412,'Step 4 Stage Discharge'!E$26:E$126,1),1))</f>
        <v>4.3639431710317386E-3</v>
      </c>
      <c r="F412" s="218">
        <f t="shared" si="30"/>
        <v>0</v>
      </c>
      <c r="G412" s="218">
        <f t="shared" si="31"/>
        <v>0</v>
      </c>
    </row>
    <row r="413" spans="1:7">
      <c r="A413" s="217">
        <f t="shared" si="32"/>
        <v>1985</v>
      </c>
      <c r="B413" s="216">
        <f t="shared" si="33"/>
        <v>99.1</v>
      </c>
      <c r="C413" s="218">
        <f t="shared" si="34"/>
        <v>0</v>
      </c>
      <c r="D413" s="219">
        <f>INDEX('Step 4 Stage Discharge'!E$26:F$126,MATCH(C413,'Step 4 Stage Discharge'!E$26:E$126,1),2)+(INDEX('Step 4 Stage Discharge'!E$26:F$126,MATCH(C413,'Step 4 Stage Discharge'!E$26:E$126,1)+1,2)-INDEX('Step 4 Stage Discharge'!E$26:F$126,MATCH(C413,'Step 4 Stage Discharge'!E$26:E$126,1),2))*(C413-INDEX('Step 4 Stage Discharge'!E$26:F$126,MATCH(C413,'Step 4 Stage Discharge'!E$26:E$126,1),1))/(INDEX('Step 4 Stage Discharge'!E$26:F$126,MATCH(C413,'Step 4 Stage Discharge'!E$26:E$126,1)+1,1)-INDEX('Step 4 Stage Discharge'!E$26:F$126,MATCH(C413,'Step 4 Stage Discharge'!E$26:E$126,1),1))</f>
        <v>0</v>
      </c>
      <c r="E413" s="219">
        <f>INDEX('Step 4 Stage Discharge'!E$26:M$126,MATCH(C413,'Step 4 Stage Discharge'!E$26:E$126,1),9)+(INDEX('Step 4 Stage Discharge'!E$26:M$126,MATCH('Step 6 Quality Check'!C413,'Step 4 Stage Discharge'!E$26:E$126,1)+1,9)-INDEX('Step 4 Stage Discharge'!E$26:M$126,MATCH('Step 6 Quality Check'!C413,'Step 4 Stage Discharge'!E$26:E$126,1),9))*('Step 6 Quality Check'!C413-INDEX('Step 4 Stage Discharge'!E$26:M$126,MATCH('Step 6 Quality Check'!C413,'Step 4 Stage Discharge'!E$26:E$126,1),1))/(INDEX('Step 4 Stage Discharge'!E$26:M$126,MATCH('Step 6 Quality Check'!C413,'Step 4 Stage Discharge'!E$26:E$126,1)+1,1)-INDEX('Step 4 Stage Discharge'!E$26:M$126,MATCH('Step 6 Quality Check'!C413,'Step 4 Stage Discharge'!E$26:E$126,1),1))</f>
        <v>4.3639431710317386E-3</v>
      </c>
      <c r="F413" s="218">
        <f t="shared" si="30"/>
        <v>0</v>
      </c>
      <c r="G413" s="218">
        <f t="shared" si="31"/>
        <v>0</v>
      </c>
    </row>
    <row r="414" spans="1:7">
      <c r="A414" s="217">
        <f t="shared" si="32"/>
        <v>1990</v>
      </c>
      <c r="B414" s="216">
        <f t="shared" si="33"/>
        <v>99.1</v>
      </c>
      <c r="C414" s="218">
        <f t="shared" si="34"/>
        <v>0</v>
      </c>
      <c r="D414" s="219">
        <f>INDEX('Step 4 Stage Discharge'!E$26:F$126,MATCH(C414,'Step 4 Stage Discharge'!E$26:E$126,1),2)+(INDEX('Step 4 Stage Discharge'!E$26:F$126,MATCH(C414,'Step 4 Stage Discharge'!E$26:E$126,1)+1,2)-INDEX('Step 4 Stage Discharge'!E$26:F$126,MATCH(C414,'Step 4 Stage Discharge'!E$26:E$126,1),2))*(C414-INDEX('Step 4 Stage Discharge'!E$26:F$126,MATCH(C414,'Step 4 Stage Discharge'!E$26:E$126,1),1))/(INDEX('Step 4 Stage Discharge'!E$26:F$126,MATCH(C414,'Step 4 Stage Discharge'!E$26:E$126,1)+1,1)-INDEX('Step 4 Stage Discharge'!E$26:F$126,MATCH(C414,'Step 4 Stage Discharge'!E$26:E$126,1),1))</f>
        <v>0</v>
      </c>
      <c r="E414" s="219">
        <f>INDEX('Step 4 Stage Discharge'!E$26:M$126,MATCH(C414,'Step 4 Stage Discharge'!E$26:E$126,1),9)+(INDEX('Step 4 Stage Discharge'!E$26:M$126,MATCH('Step 6 Quality Check'!C414,'Step 4 Stage Discharge'!E$26:E$126,1)+1,9)-INDEX('Step 4 Stage Discharge'!E$26:M$126,MATCH('Step 6 Quality Check'!C414,'Step 4 Stage Discharge'!E$26:E$126,1),9))*('Step 6 Quality Check'!C414-INDEX('Step 4 Stage Discharge'!E$26:M$126,MATCH('Step 6 Quality Check'!C414,'Step 4 Stage Discharge'!E$26:E$126,1),1))/(INDEX('Step 4 Stage Discharge'!E$26:M$126,MATCH('Step 6 Quality Check'!C414,'Step 4 Stage Discharge'!E$26:E$126,1)+1,1)-INDEX('Step 4 Stage Discharge'!E$26:M$126,MATCH('Step 6 Quality Check'!C414,'Step 4 Stage Discharge'!E$26:E$126,1),1))</f>
        <v>4.3639431710317386E-3</v>
      </c>
      <c r="F414" s="218">
        <f t="shared" si="30"/>
        <v>0</v>
      </c>
      <c r="G414" s="218">
        <f t="shared" si="31"/>
        <v>0</v>
      </c>
    </row>
    <row r="415" spans="1:7">
      <c r="A415" s="217">
        <f t="shared" si="32"/>
        <v>1995</v>
      </c>
      <c r="B415" s="216">
        <f t="shared" si="33"/>
        <v>99.1</v>
      </c>
      <c r="C415" s="218">
        <f t="shared" si="34"/>
        <v>0</v>
      </c>
      <c r="D415" s="219">
        <f>INDEX('Step 4 Stage Discharge'!E$26:F$126,MATCH(C415,'Step 4 Stage Discharge'!E$26:E$126,1),2)+(INDEX('Step 4 Stage Discharge'!E$26:F$126,MATCH(C415,'Step 4 Stage Discharge'!E$26:E$126,1)+1,2)-INDEX('Step 4 Stage Discharge'!E$26:F$126,MATCH(C415,'Step 4 Stage Discharge'!E$26:E$126,1),2))*(C415-INDEX('Step 4 Stage Discharge'!E$26:F$126,MATCH(C415,'Step 4 Stage Discharge'!E$26:E$126,1),1))/(INDEX('Step 4 Stage Discharge'!E$26:F$126,MATCH(C415,'Step 4 Stage Discharge'!E$26:E$126,1)+1,1)-INDEX('Step 4 Stage Discharge'!E$26:F$126,MATCH(C415,'Step 4 Stage Discharge'!E$26:E$126,1),1))</f>
        <v>0</v>
      </c>
      <c r="E415" s="219">
        <f>INDEX('Step 4 Stage Discharge'!E$26:M$126,MATCH(C415,'Step 4 Stage Discharge'!E$26:E$126,1),9)+(INDEX('Step 4 Stage Discharge'!E$26:M$126,MATCH('Step 6 Quality Check'!C415,'Step 4 Stage Discharge'!E$26:E$126,1)+1,9)-INDEX('Step 4 Stage Discharge'!E$26:M$126,MATCH('Step 6 Quality Check'!C415,'Step 4 Stage Discharge'!E$26:E$126,1),9))*('Step 6 Quality Check'!C415-INDEX('Step 4 Stage Discharge'!E$26:M$126,MATCH('Step 6 Quality Check'!C415,'Step 4 Stage Discharge'!E$26:E$126,1),1))/(INDEX('Step 4 Stage Discharge'!E$26:M$126,MATCH('Step 6 Quality Check'!C415,'Step 4 Stage Discharge'!E$26:E$126,1)+1,1)-INDEX('Step 4 Stage Discharge'!E$26:M$126,MATCH('Step 6 Quality Check'!C415,'Step 4 Stage Discharge'!E$26:E$126,1),1))</f>
        <v>4.3639431710317386E-3</v>
      </c>
      <c r="F415" s="218">
        <f t="shared" si="30"/>
        <v>0</v>
      </c>
      <c r="G415" s="218">
        <f t="shared" si="31"/>
        <v>0</v>
      </c>
    </row>
    <row r="416" spans="1:7">
      <c r="A416" s="217">
        <f t="shared" si="32"/>
        <v>2000</v>
      </c>
      <c r="B416" s="216">
        <f t="shared" si="33"/>
        <v>99.1</v>
      </c>
      <c r="C416" s="218">
        <f t="shared" si="34"/>
        <v>0</v>
      </c>
      <c r="D416" s="219">
        <f>INDEX('Step 4 Stage Discharge'!E$26:F$126,MATCH(C416,'Step 4 Stage Discharge'!E$26:E$126,1),2)+(INDEX('Step 4 Stage Discharge'!E$26:F$126,MATCH(C416,'Step 4 Stage Discharge'!E$26:E$126,1)+1,2)-INDEX('Step 4 Stage Discharge'!E$26:F$126,MATCH(C416,'Step 4 Stage Discharge'!E$26:E$126,1),2))*(C416-INDEX('Step 4 Stage Discharge'!E$26:F$126,MATCH(C416,'Step 4 Stage Discharge'!E$26:E$126,1),1))/(INDEX('Step 4 Stage Discharge'!E$26:F$126,MATCH(C416,'Step 4 Stage Discharge'!E$26:E$126,1)+1,1)-INDEX('Step 4 Stage Discharge'!E$26:F$126,MATCH(C416,'Step 4 Stage Discharge'!E$26:E$126,1),1))</f>
        <v>0</v>
      </c>
      <c r="E416" s="219">
        <f>INDEX('Step 4 Stage Discharge'!E$26:M$126,MATCH(C416,'Step 4 Stage Discharge'!E$26:E$126,1),9)+(INDEX('Step 4 Stage Discharge'!E$26:M$126,MATCH('Step 6 Quality Check'!C416,'Step 4 Stage Discharge'!E$26:E$126,1)+1,9)-INDEX('Step 4 Stage Discharge'!E$26:M$126,MATCH('Step 6 Quality Check'!C416,'Step 4 Stage Discharge'!E$26:E$126,1),9))*('Step 6 Quality Check'!C416-INDEX('Step 4 Stage Discharge'!E$26:M$126,MATCH('Step 6 Quality Check'!C416,'Step 4 Stage Discharge'!E$26:E$126,1),1))/(INDEX('Step 4 Stage Discharge'!E$26:M$126,MATCH('Step 6 Quality Check'!C416,'Step 4 Stage Discharge'!E$26:E$126,1)+1,1)-INDEX('Step 4 Stage Discharge'!E$26:M$126,MATCH('Step 6 Quality Check'!C416,'Step 4 Stage Discharge'!E$26:E$126,1),1))</f>
        <v>4.3639431710317386E-3</v>
      </c>
      <c r="F416" s="218">
        <f t="shared" si="30"/>
        <v>0</v>
      </c>
      <c r="G416" s="218">
        <f t="shared" si="31"/>
        <v>0</v>
      </c>
    </row>
    <row r="417" spans="1:7">
      <c r="A417" s="217">
        <f t="shared" si="32"/>
        <v>2005</v>
      </c>
      <c r="B417" s="216">
        <f t="shared" si="33"/>
        <v>99.1</v>
      </c>
      <c r="C417" s="218">
        <f t="shared" si="34"/>
        <v>0</v>
      </c>
      <c r="D417" s="219">
        <f>INDEX('Step 4 Stage Discharge'!E$26:F$126,MATCH(C417,'Step 4 Stage Discharge'!E$26:E$126,1),2)+(INDEX('Step 4 Stage Discharge'!E$26:F$126,MATCH(C417,'Step 4 Stage Discharge'!E$26:E$126,1)+1,2)-INDEX('Step 4 Stage Discharge'!E$26:F$126,MATCH(C417,'Step 4 Stage Discharge'!E$26:E$126,1),2))*(C417-INDEX('Step 4 Stage Discharge'!E$26:F$126,MATCH(C417,'Step 4 Stage Discharge'!E$26:E$126,1),1))/(INDEX('Step 4 Stage Discharge'!E$26:F$126,MATCH(C417,'Step 4 Stage Discharge'!E$26:E$126,1)+1,1)-INDEX('Step 4 Stage Discharge'!E$26:F$126,MATCH(C417,'Step 4 Stage Discharge'!E$26:E$126,1),1))</f>
        <v>0</v>
      </c>
      <c r="E417" s="219">
        <f>INDEX('Step 4 Stage Discharge'!E$26:M$126,MATCH(C417,'Step 4 Stage Discharge'!E$26:E$126,1),9)+(INDEX('Step 4 Stage Discharge'!E$26:M$126,MATCH('Step 6 Quality Check'!C417,'Step 4 Stage Discharge'!E$26:E$126,1)+1,9)-INDEX('Step 4 Stage Discharge'!E$26:M$126,MATCH('Step 6 Quality Check'!C417,'Step 4 Stage Discharge'!E$26:E$126,1),9))*('Step 6 Quality Check'!C417-INDEX('Step 4 Stage Discharge'!E$26:M$126,MATCH('Step 6 Quality Check'!C417,'Step 4 Stage Discharge'!E$26:E$126,1),1))/(INDEX('Step 4 Stage Discharge'!E$26:M$126,MATCH('Step 6 Quality Check'!C417,'Step 4 Stage Discharge'!E$26:E$126,1)+1,1)-INDEX('Step 4 Stage Discharge'!E$26:M$126,MATCH('Step 6 Quality Check'!C417,'Step 4 Stage Discharge'!E$26:E$126,1),1))</f>
        <v>4.3639431710317386E-3</v>
      </c>
      <c r="F417" s="218">
        <f t="shared" si="30"/>
        <v>0</v>
      </c>
      <c r="G417" s="218">
        <f t="shared" si="31"/>
        <v>0</v>
      </c>
    </row>
    <row r="418" spans="1:7">
      <c r="A418" s="217">
        <f t="shared" si="32"/>
        <v>2010</v>
      </c>
      <c r="B418" s="216">
        <f t="shared" si="33"/>
        <v>99.1</v>
      </c>
      <c r="C418" s="218">
        <f t="shared" si="34"/>
        <v>0</v>
      </c>
      <c r="D418" s="219">
        <f>INDEX('Step 4 Stage Discharge'!E$26:F$126,MATCH(C418,'Step 4 Stage Discharge'!E$26:E$126,1),2)+(INDEX('Step 4 Stage Discharge'!E$26:F$126,MATCH(C418,'Step 4 Stage Discharge'!E$26:E$126,1)+1,2)-INDEX('Step 4 Stage Discharge'!E$26:F$126,MATCH(C418,'Step 4 Stage Discharge'!E$26:E$126,1),2))*(C418-INDEX('Step 4 Stage Discharge'!E$26:F$126,MATCH(C418,'Step 4 Stage Discharge'!E$26:E$126,1),1))/(INDEX('Step 4 Stage Discharge'!E$26:F$126,MATCH(C418,'Step 4 Stage Discharge'!E$26:E$126,1)+1,1)-INDEX('Step 4 Stage Discharge'!E$26:F$126,MATCH(C418,'Step 4 Stage Discharge'!E$26:E$126,1),1))</f>
        <v>0</v>
      </c>
      <c r="E418" s="219">
        <f>INDEX('Step 4 Stage Discharge'!E$26:M$126,MATCH(C418,'Step 4 Stage Discharge'!E$26:E$126,1),9)+(INDEX('Step 4 Stage Discharge'!E$26:M$126,MATCH('Step 6 Quality Check'!C418,'Step 4 Stage Discharge'!E$26:E$126,1)+1,9)-INDEX('Step 4 Stage Discharge'!E$26:M$126,MATCH('Step 6 Quality Check'!C418,'Step 4 Stage Discharge'!E$26:E$126,1),9))*('Step 6 Quality Check'!C418-INDEX('Step 4 Stage Discharge'!E$26:M$126,MATCH('Step 6 Quality Check'!C418,'Step 4 Stage Discharge'!E$26:E$126,1),1))/(INDEX('Step 4 Stage Discharge'!E$26:M$126,MATCH('Step 6 Quality Check'!C418,'Step 4 Stage Discharge'!E$26:E$126,1)+1,1)-INDEX('Step 4 Stage Discharge'!E$26:M$126,MATCH('Step 6 Quality Check'!C418,'Step 4 Stage Discharge'!E$26:E$126,1),1))</f>
        <v>4.3639431710317386E-3</v>
      </c>
      <c r="F418" s="218">
        <f t="shared" si="30"/>
        <v>0</v>
      </c>
      <c r="G418" s="218">
        <f t="shared" si="31"/>
        <v>0</v>
      </c>
    </row>
    <row r="419" spans="1:7">
      <c r="A419" s="217">
        <f t="shared" si="32"/>
        <v>2015</v>
      </c>
      <c r="B419" s="216">
        <f t="shared" si="33"/>
        <v>99.1</v>
      </c>
      <c r="C419" s="218">
        <f t="shared" si="34"/>
        <v>0</v>
      </c>
      <c r="D419" s="219">
        <f>INDEX('Step 4 Stage Discharge'!E$26:F$126,MATCH(C419,'Step 4 Stage Discharge'!E$26:E$126,1),2)+(INDEX('Step 4 Stage Discharge'!E$26:F$126,MATCH(C419,'Step 4 Stage Discharge'!E$26:E$126,1)+1,2)-INDEX('Step 4 Stage Discharge'!E$26:F$126,MATCH(C419,'Step 4 Stage Discharge'!E$26:E$126,1),2))*(C419-INDEX('Step 4 Stage Discharge'!E$26:F$126,MATCH(C419,'Step 4 Stage Discharge'!E$26:E$126,1),1))/(INDEX('Step 4 Stage Discharge'!E$26:F$126,MATCH(C419,'Step 4 Stage Discharge'!E$26:E$126,1)+1,1)-INDEX('Step 4 Stage Discharge'!E$26:F$126,MATCH(C419,'Step 4 Stage Discharge'!E$26:E$126,1),1))</f>
        <v>0</v>
      </c>
      <c r="E419" s="219">
        <f>INDEX('Step 4 Stage Discharge'!E$26:M$126,MATCH(C419,'Step 4 Stage Discharge'!E$26:E$126,1),9)+(INDEX('Step 4 Stage Discharge'!E$26:M$126,MATCH('Step 6 Quality Check'!C419,'Step 4 Stage Discharge'!E$26:E$126,1)+1,9)-INDEX('Step 4 Stage Discharge'!E$26:M$126,MATCH('Step 6 Quality Check'!C419,'Step 4 Stage Discharge'!E$26:E$126,1),9))*('Step 6 Quality Check'!C419-INDEX('Step 4 Stage Discharge'!E$26:M$126,MATCH('Step 6 Quality Check'!C419,'Step 4 Stage Discharge'!E$26:E$126,1),1))/(INDEX('Step 4 Stage Discharge'!E$26:M$126,MATCH('Step 6 Quality Check'!C419,'Step 4 Stage Discharge'!E$26:E$126,1)+1,1)-INDEX('Step 4 Stage Discharge'!E$26:M$126,MATCH('Step 6 Quality Check'!C419,'Step 4 Stage Discharge'!E$26:E$126,1),1))</f>
        <v>4.3639431710317386E-3</v>
      </c>
      <c r="F419" s="218">
        <f t="shared" si="30"/>
        <v>0</v>
      </c>
      <c r="G419" s="218">
        <f t="shared" si="31"/>
        <v>0</v>
      </c>
    </row>
    <row r="420" spans="1:7">
      <c r="A420" s="217">
        <f t="shared" si="32"/>
        <v>2020</v>
      </c>
      <c r="B420" s="216">
        <f t="shared" si="33"/>
        <v>99.1</v>
      </c>
      <c r="C420" s="218">
        <f t="shared" si="34"/>
        <v>0</v>
      </c>
      <c r="D420" s="219">
        <f>INDEX('Step 4 Stage Discharge'!E$26:F$126,MATCH(C420,'Step 4 Stage Discharge'!E$26:E$126,1),2)+(INDEX('Step 4 Stage Discharge'!E$26:F$126,MATCH(C420,'Step 4 Stage Discharge'!E$26:E$126,1)+1,2)-INDEX('Step 4 Stage Discharge'!E$26:F$126,MATCH(C420,'Step 4 Stage Discharge'!E$26:E$126,1),2))*(C420-INDEX('Step 4 Stage Discharge'!E$26:F$126,MATCH(C420,'Step 4 Stage Discharge'!E$26:E$126,1),1))/(INDEX('Step 4 Stage Discharge'!E$26:F$126,MATCH(C420,'Step 4 Stage Discharge'!E$26:E$126,1)+1,1)-INDEX('Step 4 Stage Discharge'!E$26:F$126,MATCH(C420,'Step 4 Stage Discharge'!E$26:E$126,1),1))</f>
        <v>0</v>
      </c>
      <c r="E420" s="219">
        <f>INDEX('Step 4 Stage Discharge'!E$26:M$126,MATCH(C420,'Step 4 Stage Discharge'!E$26:E$126,1),9)+(INDEX('Step 4 Stage Discharge'!E$26:M$126,MATCH('Step 6 Quality Check'!C420,'Step 4 Stage Discharge'!E$26:E$126,1)+1,9)-INDEX('Step 4 Stage Discharge'!E$26:M$126,MATCH('Step 6 Quality Check'!C420,'Step 4 Stage Discharge'!E$26:E$126,1),9))*('Step 6 Quality Check'!C420-INDEX('Step 4 Stage Discharge'!E$26:M$126,MATCH('Step 6 Quality Check'!C420,'Step 4 Stage Discharge'!E$26:E$126,1),1))/(INDEX('Step 4 Stage Discharge'!E$26:M$126,MATCH('Step 6 Quality Check'!C420,'Step 4 Stage Discharge'!E$26:E$126,1)+1,1)-INDEX('Step 4 Stage Discharge'!E$26:M$126,MATCH('Step 6 Quality Check'!C420,'Step 4 Stage Discharge'!E$26:E$126,1),1))</f>
        <v>4.3639431710317386E-3</v>
      </c>
      <c r="F420" s="218">
        <f t="shared" si="30"/>
        <v>0</v>
      </c>
      <c r="G420" s="218">
        <f t="shared" si="31"/>
        <v>0</v>
      </c>
    </row>
    <row r="421" spans="1:7">
      <c r="A421" s="217">
        <f t="shared" si="32"/>
        <v>2025</v>
      </c>
      <c r="B421" s="216">
        <f t="shared" si="33"/>
        <v>99.1</v>
      </c>
      <c r="C421" s="218">
        <f t="shared" si="34"/>
        <v>0</v>
      </c>
      <c r="D421" s="219">
        <f>INDEX('Step 4 Stage Discharge'!E$26:F$126,MATCH(C421,'Step 4 Stage Discharge'!E$26:E$126,1),2)+(INDEX('Step 4 Stage Discharge'!E$26:F$126,MATCH(C421,'Step 4 Stage Discharge'!E$26:E$126,1)+1,2)-INDEX('Step 4 Stage Discharge'!E$26:F$126,MATCH(C421,'Step 4 Stage Discharge'!E$26:E$126,1),2))*(C421-INDEX('Step 4 Stage Discharge'!E$26:F$126,MATCH(C421,'Step 4 Stage Discharge'!E$26:E$126,1),1))/(INDEX('Step 4 Stage Discharge'!E$26:F$126,MATCH(C421,'Step 4 Stage Discharge'!E$26:E$126,1)+1,1)-INDEX('Step 4 Stage Discharge'!E$26:F$126,MATCH(C421,'Step 4 Stage Discharge'!E$26:E$126,1),1))</f>
        <v>0</v>
      </c>
      <c r="E421" s="219">
        <f>INDEX('Step 4 Stage Discharge'!E$26:M$126,MATCH(C421,'Step 4 Stage Discharge'!E$26:E$126,1),9)+(INDEX('Step 4 Stage Discharge'!E$26:M$126,MATCH('Step 6 Quality Check'!C421,'Step 4 Stage Discharge'!E$26:E$126,1)+1,9)-INDEX('Step 4 Stage Discharge'!E$26:M$126,MATCH('Step 6 Quality Check'!C421,'Step 4 Stage Discharge'!E$26:E$126,1),9))*('Step 6 Quality Check'!C421-INDEX('Step 4 Stage Discharge'!E$26:M$126,MATCH('Step 6 Quality Check'!C421,'Step 4 Stage Discharge'!E$26:E$126,1),1))/(INDEX('Step 4 Stage Discharge'!E$26:M$126,MATCH('Step 6 Quality Check'!C421,'Step 4 Stage Discharge'!E$26:E$126,1)+1,1)-INDEX('Step 4 Stage Discharge'!E$26:M$126,MATCH('Step 6 Quality Check'!C421,'Step 4 Stage Discharge'!E$26:E$126,1),1))</f>
        <v>4.3639431710317386E-3</v>
      </c>
      <c r="F421" s="218">
        <f t="shared" si="30"/>
        <v>0</v>
      </c>
      <c r="G421" s="218">
        <f t="shared" si="31"/>
        <v>0</v>
      </c>
    </row>
    <row r="422" spans="1:7">
      <c r="A422" s="217">
        <f t="shared" si="32"/>
        <v>2030</v>
      </c>
      <c r="B422" s="216">
        <f t="shared" si="33"/>
        <v>99.1</v>
      </c>
      <c r="C422" s="218">
        <f t="shared" si="34"/>
        <v>0</v>
      </c>
      <c r="D422" s="219">
        <f>INDEX('Step 4 Stage Discharge'!E$26:F$126,MATCH(C422,'Step 4 Stage Discharge'!E$26:E$126,1),2)+(INDEX('Step 4 Stage Discharge'!E$26:F$126,MATCH(C422,'Step 4 Stage Discharge'!E$26:E$126,1)+1,2)-INDEX('Step 4 Stage Discharge'!E$26:F$126,MATCH(C422,'Step 4 Stage Discharge'!E$26:E$126,1),2))*(C422-INDEX('Step 4 Stage Discharge'!E$26:F$126,MATCH(C422,'Step 4 Stage Discharge'!E$26:E$126,1),1))/(INDEX('Step 4 Stage Discharge'!E$26:F$126,MATCH(C422,'Step 4 Stage Discharge'!E$26:E$126,1)+1,1)-INDEX('Step 4 Stage Discharge'!E$26:F$126,MATCH(C422,'Step 4 Stage Discharge'!E$26:E$126,1),1))</f>
        <v>0</v>
      </c>
      <c r="E422" s="219">
        <f>INDEX('Step 4 Stage Discharge'!E$26:M$126,MATCH(C422,'Step 4 Stage Discharge'!E$26:E$126,1),9)+(INDEX('Step 4 Stage Discharge'!E$26:M$126,MATCH('Step 6 Quality Check'!C422,'Step 4 Stage Discharge'!E$26:E$126,1)+1,9)-INDEX('Step 4 Stage Discharge'!E$26:M$126,MATCH('Step 6 Quality Check'!C422,'Step 4 Stage Discharge'!E$26:E$126,1),9))*('Step 6 Quality Check'!C422-INDEX('Step 4 Stage Discharge'!E$26:M$126,MATCH('Step 6 Quality Check'!C422,'Step 4 Stage Discharge'!E$26:E$126,1),1))/(INDEX('Step 4 Stage Discharge'!E$26:M$126,MATCH('Step 6 Quality Check'!C422,'Step 4 Stage Discharge'!E$26:E$126,1)+1,1)-INDEX('Step 4 Stage Discharge'!E$26:M$126,MATCH('Step 6 Quality Check'!C422,'Step 4 Stage Discharge'!E$26:E$126,1),1))</f>
        <v>4.3639431710317386E-3</v>
      </c>
      <c r="F422" s="218">
        <f t="shared" si="30"/>
        <v>0</v>
      </c>
      <c r="G422" s="218">
        <f t="shared" si="31"/>
        <v>0</v>
      </c>
    </row>
    <row r="423" spans="1:7">
      <c r="A423" s="217">
        <f t="shared" si="32"/>
        <v>2035</v>
      </c>
      <c r="B423" s="216">
        <f t="shared" si="33"/>
        <v>99.1</v>
      </c>
      <c r="C423" s="218">
        <f t="shared" si="34"/>
        <v>0</v>
      </c>
      <c r="D423" s="219">
        <f>INDEX('Step 4 Stage Discharge'!E$26:F$126,MATCH(C423,'Step 4 Stage Discharge'!E$26:E$126,1),2)+(INDEX('Step 4 Stage Discharge'!E$26:F$126,MATCH(C423,'Step 4 Stage Discharge'!E$26:E$126,1)+1,2)-INDEX('Step 4 Stage Discharge'!E$26:F$126,MATCH(C423,'Step 4 Stage Discharge'!E$26:E$126,1),2))*(C423-INDEX('Step 4 Stage Discharge'!E$26:F$126,MATCH(C423,'Step 4 Stage Discharge'!E$26:E$126,1),1))/(INDEX('Step 4 Stage Discharge'!E$26:F$126,MATCH(C423,'Step 4 Stage Discharge'!E$26:E$126,1)+1,1)-INDEX('Step 4 Stage Discharge'!E$26:F$126,MATCH(C423,'Step 4 Stage Discharge'!E$26:E$126,1),1))</f>
        <v>0</v>
      </c>
      <c r="E423" s="219">
        <f>INDEX('Step 4 Stage Discharge'!E$26:M$126,MATCH(C423,'Step 4 Stage Discharge'!E$26:E$126,1),9)+(INDEX('Step 4 Stage Discharge'!E$26:M$126,MATCH('Step 6 Quality Check'!C423,'Step 4 Stage Discharge'!E$26:E$126,1)+1,9)-INDEX('Step 4 Stage Discharge'!E$26:M$126,MATCH('Step 6 Quality Check'!C423,'Step 4 Stage Discharge'!E$26:E$126,1),9))*('Step 6 Quality Check'!C423-INDEX('Step 4 Stage Discharge'!E$26:M$126,MATCH('Step 6 Quality Check'!C423,'Step 4 Stage Discharge'!E$26:E$126,1),1))/(INDEX('Step 4 Stage Discharge'!E$26:M$126,MATCH('Step 6 Quality Check'!C423,'Step 4 Stage Discharge'!E$26:E$126,1)+1,1)-INDEX('Step 4 Stage Discharge'!E$26:M$126,MATCH('Step 6 Quality Check'!C423,'Step 4 Stage Discharge'!E$26:E$126,1),1))</f>
        <v>4.3639431710317386E-3</v>
      </c>
      <c r="F423" s="218">
        <f t="shared" si="30"/>
        <v>0</v>
      </c>
      <c r="G423" s="218">
        <f t="shared" si="31"/>
        <v>0</v>
      </c>
    </row>
    <row r="424" spans="1:7">
      <c r="A424" s="217">
        <f t="shared" si="32"/>
        <v>2040</v>
      </c>
      <c r="B424" s="216">
        <f t="shared" si="33"/>
        <v>99.1</v>
      </c>
      <c r="C424" s="218">
        <f t="shared" si="34"/>
        <v>0</v>
      </c>
      <c r="D424" s="219">
        <f>INDEX('Step 4 Stage Discharge'!E$26:F$126,MATCH(C424,'Step 4 Stage Discharge'!E$26:E$126,1),2)+(INDEX('Step 4 Stage Discharge'!E$26:F$126,MATCH(C424,'Step 4 Stage Discharge'!E$26:E$126,1)+1,2)-INDEX('Step 4 Stage Discharge'!E$26:F$126,MATCH(C424,'Step 4 Stage Discharge'!E$26:E$126,1),2))*(C424-INDEX('Step 4 Stage Discharge'!E$26:F$126,MATCH(C424,'Step 4 Stage Discharge'!E$26:E$126,1),1))/(INDEX('Step 4 Stage Discharge'!E$26:F$126,MATCH(C424,'Step 4 Stage Discharge'!E$26:E$126,1)+1,1)-INDEX('Step 4 Stage Discharge'!E$26:F$126,MATCH(C424,'Step 4 Stage Discharge'!E$26:E$126,1),1))</f>
        <v>0</v>
      </c>
      <c r="E424" s="219">
        <f>INDEX('Step 4 Stage Discharge'!E$26:M$126,MATCH(C424,'Step 4 Stage Discharge'!E$26:E$126,1),9)+(INDEX('Step 4 Stage Discharge'!E$26:M$126,MATCH('Step 6 Quality Check'!C424,'Step 4 Stage Discharge'!E$26:E$126,1)+1,9)-INDEX('Step 4 Stage Discharge'!E$26:M$126,MATCH('Step 6 Quality Check'!C424,'Step 4 Stage Discharge'!E$26:E$126,1),9))*('Step 6 Quality Check'!C424-INDEX('Step 4 Stage Discharge'!E$26:M$126,MATCH('Step 6 Quality Check'!C424,'Step 4 Stage Discharge'!E$26:E$126,1),1))/(INDEX('Step 4 Stage Discharge'!E$26:M$126,MATCH('Step 6 Quality Check'!C424,'Step 4 Stage Discharge'!E$26:E$126,1)+1,1)-INDEX('Step 4 Stage Discharge'!E$26:M$126,MATCH('Step 6 Quality Check'!C424,'Step 4 Stage Discharge'!E$26:E$126,1),1))</f>
        <v>4.3639431710317386E-3</v>
      </c>
      <c r="F424" s="218">
        <f t="shared" si="30"/>
        <v>0</v>
      </c>
      <c r="G424" s="218">
        <f t="shared" si="31"/>
        <v>0</v>
      </c>
    </row>
    <row r="425" spans="1:7">
      <c r="A425" s="217">
        <f t="shared" si="32"/>
        <v>2045</v>
      </c>
      <c r="B425" s="216">
        <f t="shared" si="33"/>
        <v>99.1</v>
      </c>
      <c r="C425" s="218">
        <f t="shared" si="34"/>
        <v>0</v>
      </c>
      <c r="D425" s="219">
        <f>INDEX('Step 4 Stage Discharge'!E$26:F$126,MATCH(C425,'Step 4 Stage Discharge'!E$26:E$126,1),2)+(INDEX('Step 4 Stage Discharge'!E$26:F$126,MATCH(C425,'Step 4 Stage Discharge'!E$26:E$126,1)+1,2)-INDEX('Step 4 Stage Discharge'!E$26:F$126,MATCH(C425,'Step 4 Stage Discharge'!E$26:E$126,1),2))*(C425-INDEX('Step 4 Stage Discharge'!E$26:F$126,MATCH(C425,'Step 4 Stage Discharge'!E$26:E$126,1),1))/(INDEX('Step 4 Stage Discharge'!E$26:F$126,MATCH(C425,'Step 4 Stage Discharge'!E$26:E$126,1)+1,1)-INDEX('Step 4 Stage Discharge'!E$26:F$126,MATCH(C425,'Step 4 Stage Discharge'!E$26:E$126,1),1))</f>
        <v>0</v>
      </c>
      <c r="E425" s="219">
        <f>INDEX('Step 4 Stage Discharge'!E$26:M$126,MATCH(C425,'Step 4 Stage Discharge'!E$26:E$126,1),9)+(INDEX('Step 4 Stage Discharge'!E$26:M$126,MATCH('Step 6 Quality Check'!C425,'Step 4 Stage Discharge'!E$26:E$126,1)+1,9)-INDEX('Step 4 Stage Discharge'!E$26:M$126,MATCH('Step 6 Quality Check'!C425,'Step 4 Stage Discharge'!E$26:E$126,1),9))*('Step 6 Quality Check'!C425-INDEX('Step 4 Stage Discharge'!E$26:M$126,MATCH('Step 6 Quality Check'!C425,'Step 4 Stage Discharge'!E$26:E$126,1),1))/(INDEX('Step 4 Stage Discharge'!E$26:M$126,MATCH('Step 6 Quality Check'!C425,'Step 4 Stage Discharge'!E$26:E$126,1)+1,1)-INDEX('Step 4 Stage Discharge'!E$26:M$126,MATCH('Step 6 Quality Check'!C425,'Step 4 Stage Discharge'!E$26:E$126,1),1))</f>
        <v>4.3639431710317386E-3</v>
      </c>
      <c r="F425" s="218">
        <f t="shared" si="30"/>
        <v>0</v>
      </c>
      <c r="G425" s="218">
        <f t="shared" si="31"/>
        <v>0</v>
      </c>
    </row>
    <row r="426" spans="1:7">
      <c r="A426" s="217">
        <f t="shared" si="32"/>
        <v>2050</v>
      </c>
      <c r="B426" s="216">
        <f t="shared" si="33"/>
        <v>99.1</v>
      </c>
      <c r="C426" s="218">
        <f t="shared" si="34"/>
        <v>0</v>
      </c>
      <c r="D426" s="219">
        <f>INDEX('Step 4 Stage Discharge'!E$26:F$126,MATCH(C426,'Step 4 Stage Discharge'!E$26:E$126,1),2)+(INDEX('Step 4 Stage Discharge'!E$26:F$126,MATCH(C426,'Step 4 Stage Discharge'!E$26:E$126,1)+1,2)-INDEX('Step 4 Stage Discharge'!E$26:F$126,MATCH(C426,'Step 4 Stage Discharge'!E$26:E$126,1),2))*(C426-INDEX('Step 4 Stage Discharge'!E$26:F$126,MATCH(C426,'Step 4 Stage Discharge'!E$26:E$126,1),1))/(INDEX('Step 4 Stage Discharge'!E$26:F$126,MATCH(C426,'Step 4 Stage Discharge'!E$26:E$126,1)+1,1)-INDEX('Step 4 Stage Discharge'!E$26:F$126,MATCH(C426,'Step 4 Stage Discharge'!E$26:E$126,1),1))</f>
        <v>0</v>
      </c>
      <c r="E426" s="219">
        <f>INDEX('Step 4 Stage Discharge'!E$26:M$126,MATCH(C426,'Step 4 Stage Discharge'!E$26:E$126,1),9)+(INDEX('Step 4 Stage Discharge'!E$26:M$126,MATCH('Step 6 Quality Check'!C426,'Step 4 Stage Discharge'!E$26:E$126,1)+1,9)-INDEX('Step 4 Stage Discharge'!E$26:M$126,MATCH('Step 6 Quality Check'!C426,'Step 4 Stage Discharge'!E$26:E$126,1),9))*('Step 6 Quality Check'!C426-INDEX('Step 4 Stage Discharge'!E$26:M$126,MATCH('Step 6 Quality Check'!C426,'Step 4 Stage Discharge'!E$26:E$126,1),1))/(INDEX('Step 4 Stage Discharge'!E$26:M$126,MATCH('Step 6 Quality Check'!C426,'Step 4 Stage Discharge'!E$26:E$126,1)+1,1)-INDEX('Step 4 Stage Discharge'!E$26:M$126,MATCH('Step 6 Quality Check'!C426,'Step 4 Stage Discharge'!E$26:E$126,1),1))</f>
        <v>4.3639431710317386E-3</v>
      </c>
      <c r="F426" s="218">
        <f t="shared" si="30"/>
        <v>0</v>
      </c>
      <c r="G426" s="218">
        <f t="shared" si="31"/>
        <v>0</v>
      </c>
    </row>
    <row r="427" spans="1:7">
      <c r="A427" s="217">
        <f t="shared" si="32"/>
        <v>2055</v>
      </c>
      <c r="B427" s="216">
        <f t="shared" si="33"/>
        <v>99.1</v>
      </c>
      <c r="C427" s="218">
        <f t="shared" si="34"/>
        <v>0</v>
      </c>
      <c r="D427" s="219">
        <f>INDEX('Step 4 Stage Discharge'!E$26:F$126,MATCH(C427,'Step 4 Stage Discharge'!E$26:E$126,1),2)+(INDEX('Step 4 Stage Discharge'!E$26:F$126,MATCH(C427,'Step 4 Stage Discharge'!E$26:E$126,1)+1,2)-INDEX('Step 4 Stage Discharge'!E$26:F$126,MATCH(C427,'Step 4 Stage Discharge'!E$26:E$126,1),2))*(C427-INDEX('Step 4 Stage Discharge'!E$26:F$126,MATCH(C427,'Step 4 Stage Discharge'!E$26:E$126,1),1))/(INDEX('Step 4 Stage Discharge'!E$26:F$126,MATCH(C427,'Step 4 Stage Discharge'!E$26:E$126,1)+1,1)-INDEX('Step 4 Stage Discharge'!E$26:F$126,MATCH(C427,'Step 4 Stage Discharge'!E$26:E$126,1),1))</f>
        <v>0</v>
      </c>
      <c r="E427" s="219">
        <f>INDEX('Step 4 Stage Discharge'!E$26:M$126,MATCH(C427,'Step 4 Stage Discharge'!E$26:E$126,1),9)+(INDEX('Step 4 Stage Discharge'!E$26:M$126,MATCH('Step 6 Quality Check'!C427,'Step 4 Stage Discharge'!E$26:E$126,1)+1,9)-INDEX('Step 4 Stage Discharge'!E$26:M$126,MATCH('Step 6 Quality Check'!C427,'Step 4 Stage Discharge'!E$26:E$126,1),9))*('Step 6 Quality Check'!C427-INDEX('Step 4 Stage Discharge'!E$26:M$126,MATCH('Step 6 Quality Check'!C427,'Step 4 Stage Discharge'!E$26:E$126,1),1))/(INDEX('Step 4 Stage Discharge'!E$26:M$126,MATCH('Step 6 Quality Check'!C427,'Step 4 Stage Discharge'!E$26:E$126,1)+1,1)-INDEX('Step 4 Stage Discharge'!E$26:M$126,MATCH('Step 6 Quality Check'!C427,'Step 4 Stage Discharge'!E$26:E$126,1),1))</f>
        <v>4.3639431710317386E-3</v>
      </c>
      <c r="F427" s="218">
        <f t="shared" si="30"/>
        <v>0</v>
      </c>
      <c r="G427" s="218">
        <f t="shared" si="31"/>
        <v>0</v>
      </c>
    </row>
    <row r="428" spans="1:7">
      <c r="A428" s="217">
        <f t="shared" si="32"/>
        <v>2060</v>
      </c>
      <c r="B428" s="216">
        <f t="shared" si="33"/>
        <v>99.1</v>
      </c>
      <c r="C428" s="218">
        <f t="shared" si="34"/>
        <v>0</v>
      </c>
      <c r="D428" s="219">
        <f>INDEX('Step 4 Stage Discharge'!E$26:F$126,MATCH(C428,'Step 4 Stage Discharge'!E$26:E$126,1),2)+(INDEX('Step 4 Stage Discharge'!E$26:F$126,MATCH(C428,'Step 4 Stage Discharge'!E$26:E$126,1)+1,2)-INDEX('Step 4 Stage Discharge'!E$26:F$126,MATCH(C428,'Step 4 Stage Discharge'!E$26:E$126,1),2))*(C428-INDEX('Step 4 Stage Discharge'!E$26:F$126,MATCH(C428,'Step 4 Stage Discharge'!E$26:E$126,1),1))/(INDEX('Step 4 Stage Discharge'!E$26:F$126,MATCH(C428,'Step 4 Stage Discharge'!E$26:E$126,1)+1,1)-INDEX('Step 4 Stage Discharge'!E$26:F$126,MATCH(C428,'Step 4 Stage Discharge'!E$26:E$126,1),1))</f>
        <v>0</v>
      </c>
      <c r="E428" s="219">
        <f>INDEX('Step 4 Stage Discharge'!E$26:M$126,MATCH(C428,'Step 4 Stage Discharge'!E$26:E$126,1),9)+(INDEX('Step 4 Stage Discharge'!E$26:M$126,MATCH('Step 6 Quality Check'!C428,'Step 4 Stage Discharge'!E$26:E$126,1)+1,9)-INDEX('Step 4 Stage Discharge'!E$26:M$126,MATCH('Step 6 Quality Check'!C428,'Step 4 Stage Discharge'!E$26:E$126,1),9))*('Step 6 Quality Check'!C428-INDEX('Step 4 Stage Discharge'!E$26:M$126,MATCH('Step 6 Quality Check'!C428,'Step 4 Stage Discharge'!E$26:E$126,1),1))/(INDEX('Step 4 Stage Discharge'!E$26:M$126,MATCH('Step 6 Quality Check'!C428,'Step 4 Stage Discharge'!E$26:E$126,1)+1,1)-INDEX('Step 4 Stage Discharge'!E$26:M$126,MATCH('Step 6 Quality Check'!C428,'Step 4 Stage Discharge'!E$26:E$126,1),1))</f>
        <v>4.3639431710317386E-3</v>
      </c>
      <c r="F428" s="218">
        <f t="shared" si="30"/>
        <v>0</v>
      </c>
      <c r="G428" s="218">
        <f t="shared" si="31"/>
        <v>0</v>
      </c>
    </row>
    <row r="429" spans="1:7">
      <c r="A429" s="217">
        <f t="shared" si="32"/>
        <v>2065</v>
      </c>
      <c r="B429" s="216">
        <f t="shared" si="33"/>
        <v>99.1</v>
      </c>
      <c r="C429" s="218">
        <f t="shared" si="34"/>
        <v>0</v>
      </c>
      <c r="D429" s="219">
        <f>INDEX('Step 4 Stage Discharge'!E$26:F$126,MATCH(C429,'Step 4 Stage Discharge'!E$26:E$126,1),2)+(INDEX('Step 4 Stage Discharge'!E$26:F$126,MATCH(C429,'Step 4 Stage Discharge'!E$26:E$126,1)+1,2)-INDEX('Step 4 Stage Discharge'!E$26:F$126,MATCH(C429,'Step 4 Stage Discharge'!E$26:E$126,1),2))*(C429-INDEX('Step 4 Stage Discharge'!E$26:F$126,MATCH(C429,'Step 4 Stage Discharge'!E$26:E$126,1),1))/(INDEX('Step 4 Stage Discharge'!E$26:F$126,MATCH(C429,'Step 4 Stage Discharge'!E$26:E$126,1)+1,1)-INDEX('Step 4 Stage Discharge'!E$26:F$126,MATCH(C429,'Step 4 Stage Discharge'!E$26:E$126,1),1))</f>
        <v>0</v>
      </c>
      <c r="E429" s="219">
        <f>INDEX('Step 4 Stage Discharge'!E$26:M$126,MATCH(C429,'Step 4 Stage Discharge'!E$26:E$126,1),9)+(INDEX('Step 4 Stage Discharge'!E$26:M$126,MATCH('Step 6 Quality Check'!C429,'Step 4 Stage Discharge'!E$26:E$126,1)+1,9)-INDEX('Step 4 Stage Discharge'!E$26:M$126,MATCH('Step 6 Quality Check'!C429,'Step 4 Stage Discharge'!E$26:E$126,1),9))*('Step 6 Quality Check'!C429-INDEX('Step 4 Stage Discharge'!E$26:M$126,MATCH('Step 6 Quality Check'!C429,'Step 4 Stage Discharge'!E$26:E$126,1),1))/(INDEX('Step 4 Stage Discharge'!E$26:M$126,MATCH('Step 6 Quality Check'!C429,'Step 4 Stage Discharge'!E$26:E$126,1)+1,1)-INDEX('Step 4 Stage Discharge'!E$26:M$126,MATCH('Step 6 Quality Check'!C429,'Step 4 Stage Discharge'!E$26:E$126,1),1))</f>
        <v>4.3639431710317386E-3</v>
      </c>
      <c r="F429" s="218">
        <f t="shared" si="30"/>
        <v>0</v>
      </c>
      <c r="G429" s="218">
        <f t="shared" si="31"/>
        <v>0</v>
      </c>
    </row>
    <row r="430" spans="1:7">
      <c r="A430" s="217">
        <f t="shared" si="32"/>
        <v>2070</v>
      </c>
      <c r="B430" s="216">
        <f t="shared" si="33"/>
        <v>99.1</v>
      </c>
      <c r="C430" s="218">
        <f t="shared" si="34"/>
        <v>0</v>
      </c>
      <c r="D430" s="219">
        <f>INDEX('Step 4 Stage Discharge'!E$26:F$126,MATCH(C430,'Step 4 Stage Discharge'!E$26:E$126,1),2)+(INDEX('Step 4 Stage Discharge'!E$26:F$126,MATCH(C430,'Step 4 Stage Discharge'!E$26:E$126,1)+1,2)-INDEX('Step 4 Stage Discharge'!E$26:F$126,MATCH(C430,'Step 4 Stage Discharge'!E$26:E$126,1),2))*(C430-INDEX('Step 4 Stage Discharge'!E$26:F$126,MATCH(C430,'Step 4 Stage Discharge'!E$26:E$126,1),1))/(INDEX('Step 4 Stage Discharge'!E$26:F$126,MATCH(C430,'Step 4 Stage Discharge'!E$26:E$126,1)+1,1)-INDEX('Step 4 Stage Discharge'!E$26:F$126,MATCH(C430,'Step 4 Stage Discharge'!E$26:E$126,1),1))</f>
        <v>0</v>
      </c>
      <c r="E430" s="219">
        <f>INDEX('Step 4 Stage Discharge'!E$26:M$126,MATCH(C430,'Step 4 Stage Discharge'!E$26:E$126,1),9)+(INDEX('Step 4 Stage Discharge'!E$26:M$126,MATCH('Step 6 Quality Check'!C430,'Step 4 Stage Discharge'!E$26:E$126,1)+1,9)-INDEX('Step 4 Stage Discharge'!E$26:M$126,MATCH('Step 6 Quality Check'!C430,'Step 4 Stage Discharge'!E$26:E$126,1),9))*('Step 6 Quality Check'!C430-INDEX('Step 4 Stage Discharge'!E$26:M$126,MATCH('Step 6 Quality Check'!C430,'Step 4 Stage Discharge'!E$26:E$126,1),1))/(INDEX('Step 4 Stage Discharge'!E$26:M$126,MATCH('Step 6 Quality Check'!C430,'Step 4 Stage Discharge'!E$26:E$126,1)+1,1)-INDEX('Step 4 Stage Discharge'!E$26:M$126,MATCH('Step 6 Quality Check'!C430,'Step 4 Stage Discharge'!E$26:E$126,1),1))</f>
        <v>4.3639431710317386E-3</v>
      </c>
      <c r="F430" s="218">
        <f t="shared" si="30"/>
        <v>0</v>
      </c>
      <c r="G430" s="218">
        <f t="shared" si="31"/>
        <v>0</v>
      </c>
    </row>
    <row r="431" spans="1:7">
      <c r="A431" s="217">
        <f t="shared" si="32"/>
        <v>2075</v>
      </c>
      <c r="B431" s="216">
        <f t="shared" si="33"/>
        <v>99.1</v>
      </c>
      <c r="C431" s="218">
        <f t="shared" si="34"/>
        <v>0</v>
      </c>
      <c r="D431" s="219">
        <f>INDEX('Step 4 Stage Discharge'!E$26:F$126,MATCH(C431,'Step 4 Stage Discharge'!E$26:E$126,1),2)+(INDEX('Step 4 Stage Discharge'!E$26:F$126,MATCH(C431,'Step 4 Stage Discharge'!E$26:E$126,1)+1,2)-INDEX('Step 4 Stage Discharge'!E$26:F$126,MATCH(C431,'Step 4 Stage Discharge'!E$26:E$126,1),2))*(C431-INDEX('Step 4 Stage Discharge'!E$26:F$126,MATCH(C431,'Step 4 Stage Discharge'!E$26:E$126,1),1))/(INDEX('Step 4 Stage Discharge'!E$26:F$126,MATCH(C431,'Step 4 Stage Discharge'!E$26:E$126,1)+1,1)-INDEX('Step 4 Stage Discharge'!E$26:F$126,MATCH(C431,'Step 4 Stage Discharge'!E$26:E$126,1),1))</f>
        <v>0</v>
      </c>
      <c r="E431" s="219">
        <f>INDEX('Step 4 Stage Discharge'!E$26:M$126,MATCH(C431,'Step 4 Stage Discharge'!E$26:E$126,1),9)+(INDEX('Step 4 Stage Discharge'!E$26:M$126,MATCH('Step 6 Quality Check'!C431,'Step 4 Stage Discharge'!E$26:E$126,1)+1,9)-INDEX('Step 4 Stage Discharge'!E$26:M$126,MATCH('Step 6 Quality Check'!C431,'Step 4 Stage Discharge'!E$26:E$126,1),9))*('Step 6 Quality Check'!C431-INDEX('Step 4 Stage Discharge'!E$26:M$126,MATCH('Step 6 Quality Check'!C431,'Step 4 Stage Discharge'!E$26:E$126,1),1))/(INDEX('Step 4 Stage Discharge'!E$26:M$126,MATCH('Step 6 Quality Check'!C431,'Step 4 Stage Discharge'!E$26:E$126,1)+1,1)-INDEX('Step 4 Stage Discharge'!E$26:M$126,MATCH('Step 6 Quality Check'!C431,'Step 4 Stage Discharge'!E$26:E$126,1),1))</f>
        <v>4.3639431710317386E-3</v>
      </c>
      <c r="F431" s="218">
        <f t="shared" si="30"/>
        <v>0</v>
      </c>
      <c r="G431" s="218">
        <f t="shared" si="31"/>
        <v>0</v>
      </c>
    </row>
    <row r="432" spans="1:7">
      <c r="A432" s="217">
        <f t="shared" si="32"/>
        <v>2080</v>
      </c>
      <c r="B432" s="216">
        <f t="shared" si="33"/>
        <v>99.1</v>
      </c>
      <c r="C432" s="218">
        <f t="shared" si="34"/>
        <v>0</v>
      </c>
      <c r="D432" s="219">
        <f>INDEX('Step 4 Stage Discharge'!E$26:F$126,MATCH(C432,'Step 4 Stage Discharge'!E$26:E$126,1),2)+(INDEX('Step 4 Stage Discharge'!E$26:F$126,MATCH(C432,'Step 4 Stage Discharge'!E$26:E$126,1)+1,2)-INDEX('Step 4 Stage Discharge'!E$26:F$126,MATCH(C432,'Step 4 Stage Discharge'!E$26:E$126,1),2))*(C432-INDEX('Step 4 Stage Discharge'!E$26:F$126,MATCH(C432,'Step 4 Stage Discharge'!E$26:E$126,1),1))/(INDEX('Step 4 Stage Discharge'!E$26:F$126,MATCH(C432,'Step 4 Stage Discharge'!E$26:E$126,1)+1,1)-INDEX('Step 4 Stage Discharge'!E$26:F$126,MATCH(C432,'Step 4 Stage Discharge'!E$26:E$126,1),1))</f>
        <v>0</v>
      </c>
      <c r="E432" s="219">
        <f>INDEX('Step 4 Stage Discharge'!E$26:M$126,MATCH(C432,'Step 4 Stage Discharge'!E$26:E$126,1),9)+(INDEX('Step 4 Stage Discharge'!E$26:M$126,MATCH('Step 6 Quality Check'!C432,'Step 4 Stage Discharge'!E$26:E$126,1)+1,9)-INDEX('Step 4 Stage Discharge'!E$26:M$126,MATCH('Step 6 Quality Check'!C432,'Step 4 Stage Discharge'!E$26:E$126,1),9))*('Step 6 Quality Check'!C432-INDEX('Step 4 Stage Discharge'!E$26:M$126,MATCH('Step 6 Quality Check'!C432,'Step 4 Stage Discharge'!E$26:E$126,1),1))/(INDEX('Step 4 Stage Discharge'!E$26:M$126,MATCH('Step 6 Quality Check'!C432,'Step 4 Stage Discharge'!E$26:E$126,1)+1,1)-INDEX('Step 4 Stage Discharge'!E$26:M$126,MATCH('Step 6 Quality Check'!C432,'Step 4 Stage Discharge'!E$26:E$126,1),1))</f>
        <v>4.3639431710317386E-3</v>
      </c>
      <c r="F432" s="218">
        <f t="shared" si="30"/>
        <v>0</v>
      </c>
      <c r="G432" s="218">
        <f t="shared" si="31"/>
        <v>0</v>
      </c>
    </row>
    <row r="433" spans="1:7">
      <c r="A433" s="217">
        <f t="shared" si="32"/>
        <v>2085</v>
      </c>
      <c r="B433" s="216">
        <f t="shared" si="33"/>
        <v>99.1</v>
      </c>
      <c r="C433" s="218">
        <f t="shared" si="34"/>
        <v>0</v>
      </c>
      <c r="D433" s="219">
        <f>INDEX('Step 4 Stage Discharge'!E$26:F$126,MATCH(C433,'Step 4 Stage Discharge'!E$26:E$126,1),2)+(INDEX('Step 4 Stage Discharge'!E$26:F$126,MATCH(C433,'Step 4 Stage Discharge'!E$26:E$126,1)+1,2)-INDEX('Step 4 Stage Discharge'!E$26:F$126,MATCH(C433,'Step 4 Stage Discharge'!E$26:E$126,1),2))*(C433-INDEX('Step 4 Stage Discharge'!E$26:F$126,MATCH(C433,'Step 4 Stage Discharge'!E$26:E$126,1),1))/(INDEX('Step 4 Stage Discharge'!E$26:F$126,MATCH(C433,'Step 4 Stage Discharge'!E$26:E$126,1)+1,1)-INDEX('Step 4 Stage Discharge'!E$26:F$126,MATCH(C433,'Step 4 Stage Discharge'!E$26:E$126,1),1))</f>
        <v>0</v>
      </c>
      <c r="E433" s="219">
        <f>INDEX('Step 4 Stage Discharge'!E$26:M$126,MATCH(C433,'Step 4 Stage Discharge'!E$26:E$126,1),9)+(INDEX('Step 4 Stage Discharge'!E$26:M$126,MATCH('Step 6 Quality Check'!C433,'Step 4 Stage Discharge'!E$26:E$126,1)+1,9)-INDEX('Step 4 Stage Discharge'!E$26:M$126,MATCH('Step 6 Quality Check'!C433,'Step 4 Stage Discharge'!E$26:E$126,1),9))*('Step 6 Quality Check'!C433-INDEX('Step 4 Stage Discharge'!E$26:M$126,MATCH('Step 6 Quality Check'!C433,'Step 4 Stage Discharge'!E$26:E$126,1),1))/(INDEX('Step 4 Stage Discharge'!E$26:M$126,MATCH('Step 6 Quality Check'!C433,'Step 4 Stage Discharge'!E$26:E$126,1)+1,1)-INDEX('Step 4 Stage Discharge'!E$26:M$126,MATCH('Step 6 Quality Check'!C433,'Step 4 Stage Discharge'!E$26:E$126,1),1))</f>
        <v>4.3639431710317386E-3</v>
      </c>
      <c r="F433" s="218">
        <f t="shared" si="30"/>
        <v>0</v>
      </c>
      <c r="G433" s="218">
        <f t="shared" si="31"/>
        <v>0</v>
      </c>
    </row>
    <row r="434" spans="1:7">
      <c r="A434" s="217">
        <f t="shared" si="32"/>
        <v>2090</v>
      </c>
      <c r="B434" s="216">
        <f t="shared" si="33"/>
        <v>99.1</v>
      </c>
      <c r="C434" s="218">
        <f t="shared" si="34"/>
        <v>0</v>
      </c>
      <c r="D434" s="219">
        <f>INDEX('Step 4 Stage Discharge'!E$26:F$126,MATCH(C434,'Step 4 Stage Discharge'!E$26:E$126,1),2)+(INDEX('Step 4 Stage Discharge'!E$26:F$126,MATCH(C434,'Step 4 Stage Discharge'!E$26:E$126,1)+1,2)-INDEX('Step 4 Stage Discharge'!E$26:F$126,MATCH(C434,'Step 4 Stage Discharge'!E$26:E$126,1),2))*(C434-INDEX('Step 4 Stage Discharge'!E$26:F$126,MATCH(C434,'Step 4 Stage Discharge'!E$26:E$126,1),1))/(INDEX('Step 4 Stage Discharge'!E$26:F$126,MATCH(C434,'Step 4 Stage Discharge'!E$26:E$126,1)+1,1)-INDEX('Step 4 Stage Discharge'!E$26:F$126,MATCH(C434,'Step 4 Stage Discharge'!E$26:E$126,1),1))</f>
        <v>0</v>
      </c>
      <c r="E434" s="219">
        <f>INDEX('Step 4 Stage Discharge'!E$26:M$126,MATCH(C434,'Step 4 Stage Discharge'!E$26:E$126,1),9)+(INDEX('Step 4 Stage Discharge'!E$26:M$126,MATCH('Step 6 Quality Check'!C434,'Step 4 Stage Discharge'!E$26:E$126,1)+1,9)-INDEX('Step 4 Stage Discharge'!E$26:M$126,MATCH('Step 6 Quality Check'!C434,'Step 4 Stage Discharge'!E$26:E$126,1),9))*('Step 6 Quality Check'!C434-INDEX('Step 4 Stage Discharge'!E$26:M$126,MATCH('Step 6 Quality Check'!C434,'Step 4 Stage Discharge'!E$26:E$126,1),1))/(INDEX('Step 4 Stage Discharge'!E$26:M$126,MATCH('Step 6 Quality Check'!C434,'Step 4 Stage Discharge'!E$26:E$126,1)+1,1)-INDEX('Step 4 Stage Discharge'!E$26:M$126,MATCH('Step 6 Quality Check'!C434,'Step 4 Stage Discharge'!E$26:E$126,1),1))</f>
        <v>4.3639431710317386E-3</v>
      </c>
      <c r="F434" s="218">
        <f t="shared" si="30"/>
        <v>0</v>
      </c>
      <c r="G434" s="218">
        <f t="shared" si="31"/>
        <v>0</v>
      </c>
    </row>
    <row r="435" spans="1:7">
      <c r="A435" s="217">
        <f t="shared" si="32"/>
        <v>2095</v>
      </c>
      <c r="B435" s="216">
        <f t="shared" si="33"/>
        <v>99.1</v>
      </c>
      <c r="C435" s="218">
        <f t="shared" si="34"/>
        <v>0</v>
      </c>
      <c r="D435" s="219">
        <f>INDEX('Step 4 Stage Discharge'!E$26:F$126,MATCH(C435,'Step 4 Stage Discharge'!E$26:E$126,1),2)+(INDEX('Step 4 Stage Discharge'!E$26:F$126,MATCH(C435,'Step 4 Stage Discharge'!E$26:E$126,1)+1,2)-INDEX('Step 4 Stage Discharge'!E$26:F$126,MATCH(C435,'Step 4 Stage Discharge'!E$26:E$126,1),2))*(C435-INDEX('Step 4 Stage Discharge'!E$26:F$126,MATCH(C435,'Step 4 Stage Discharge'!E$26:E$126,1),1))/(INDEX('Step 4 Stage Discharge'!E$26:F$126,MATCH(C435,'Step 4 Stage Discharge'!E$26:E$126,1)+1,1)-INDEX('Step 4 Stage Discharge'!E$26:F$126,MATCH(C435,'Step 4 Stage Discharge'!E$26:E$126,1),1))</f>
        <v>0</v>
      </c>
      <c r="E435" s="219">
        <f>INDEX('Step 4 Stage Discharge'!E$26:M$126,MATCH(C435,'Step 4 Stage Discharge'!E$26:E$126,1),9)+(INDEX('Step 4 Stage Discharge'!E$26:M$126,MATCH('Step 6 Quality Check'!C435,'Step 4 Stage Discharge'!E$26:E$126,1)+1,9)-INDEX('Step 4 Stage Discharge'!E$26:M$126,MATCH('Step 6 Quality Check'!C435,'Step 4 Stage Discharge'!E$26:E$126,1),9))*('Step 6 Quality Check'!C435-INDEX('Step 4 Stage Discharge'!E$26:M$126,MATCH('Step 6 Quality Check'!C435,'Step 4 Stage Discharge'!E$26:E$126,1),1))/(INDEX('Step 4 Stage Discharge'!E$26:M$126,MATCH('Step 6 Quality Check'!C435,'Step 4 Stage Discharge'!E$26:E$126,1)+1,1)-INDEX('Step 4 Stage Discharge'!E$26:M$126,MATCH('Step 6 Quality Check'!C435,'Step 4 Stage Discharge'!E$26:E$126,1),1))</f>
        <v>4.3639431710317386E-3</v>
      </c>
      <c r="F435" s="218">
        <f t="shared" si="30"/>
        <v>0</v>
      </c>
      <c r="G435" s="218">
        <f t="shared" si="31"/>
        <v>0</v>
      </c>
    </row>
    <row r="436" spans="1:7">
      <c r="A436" s="217">
        <f t="shared" si="32"/>
        <v>2100</v>
      </c>
      <c r="B436" s="216">
        <f t="shared" si="33"/>
        <v>99.1</v>
      </c>
      <c r="C436" s="218">
        <f t="shared" si="34"/>
        <v>0</v>
      </c>
      <c r="D436" s="219">
        <f>INDEX('Step 4 Stage Discharge'!E$26:F$126,MATCH(C436,'Step 4 Stage Discharge'!E$26:E$126,1),2)+(INDEX('Step 4 Stage Discharge'!E$26:F$126,MATCH(C436,'Step 4 Stage Discharge'!E$26:E$126,1)+1,2)-INDEX('Step 4 Stage Discharge'!E$26:F$126,MATCH(C436,'Step 4 Stage Discharge'!E$26:E$126,1),2))*(C436-INDEX('Step 4 Stage Discharge'!E$26:F$126,MATCH(C436,'Step 4 Stage Discharge'!E$26:E$126,1),1))/(INDEX('Step 4 Stage Discharge'!E$26:F$126,MATCH(C436,'Step 4 Stage Discharge'!E$26:E$126,1)+1,1)-INDEX('Step 4 Stage Discharge'!E$26:F$126,MATCH(C436,'Step 4 Stage Discharge'!E$26:E$126,1),1))</f>
        <v>0</v>
      </c>
      <c r="E436" s="219">
        <f>INDEX('Step 4 Stage Discharge'!E$26:M$126,MATCH(C436,'Step 4 Stage Discharge'!E$26:E$126,1),9)+(INDEX('Step 4 Stage Discharge'!E$26:M$126,MATCH('Step 6 Quality Check'!C436,'Step 4 Stage Discharge'!E$26:E$126,1)+1,9)-INDEX('Step 4 Stage Discharge'!E$26:M$126,MATCH('Step 6 Quality Check'!C436,'Step 4 Stage Discharge'!E$26:E$126,1),9))*('Step 6 Quality Check'!C436-INDEX('Step 4 Stage Discharge'!E$26:M$126,MATCH('Step 6 Quality Check'!C436,'Step 4 Stage Discharge'!E$26:E$126,1),1))/(INDEX('Step 4 Stage Discharge'!E$26:M$126,MATCH('Step 6 Quality Check'!C436,'Step 4 Stage Discharge'!E$26:E$126,1)+1,1)-INDEX('Step 4 Stage Discharge'!E$26:M$126,MATCH('Step 6 Quality Check'!C436,'Step 4 Stage Discharge'!E$26:E$126,1),1))</f>
        <v>4.3639431710317386E-3</v>
      </c>
      <c r="F436" s="218">
        <f t="shared" si="30"/>
        <v>0</v>
      </c>
      <c r="G436" s="218">
        <f t="shared" si="31"/>
        <v>0</v>
      </c>
    </row>
    <row r="437" spans="1:7">
      <c r="A437" s="217">
        <f t="shared" si="32"/>
        <v>2105</v>
      </c>
      <c r="B437" s="216">
        <f t="shared" si="33"/>
        <v>99.1</v>
      </c>
      <c r="C437" s="218">
        <f t="shared" si="34"/>
        <v>0</v>
      </c>
      <c r="D437" s="219">
        <f>INDEX('Step 4 Stage Discharge'!E$26:F$126,MATCH(C437,'Step 4 Stage Discharge'!E$26:E$126,1),2)+(INDEX('Step 4 Stage Discharge'!E$26:F$126,MATCH(C437,'Step 4 Stage Discharge'!E$26:E$126,1)+1,2)-INDEX('Step 4 Stage Discharge'!E$26:F$126,MATCH(C437,'Step 4 Stage Discharge'!E$26:E$126,1),2))*(C437-INDEX('Step 4 Stage Discharge'!E$26:F$126,MATCH(C437,'Step 4 Stage Discharge'!E$26:E$126,1),1))/(INDEX('Step 4 Stage Discharge'!E$26:F$126,MATCH(C437,'Step 4 Stage Discharge'!E$26:E$126,1)+1,1)-INDEX('Step 4 Stage Discharge'!E$26:F$126,MATCH(C437,'Step 4 Stage Discharge'!E$26:E$126,1),1))</f>
        <v>0</v>
      </c>
      <c r="E437" s="219">
        <f>INDEX('Step 4 Stage Discharge'!E$26:M$126,MATCH(C437,'Step 4 Stage Discharge'!E$26:E$126,1),9)+(INDEX('Step 4 Stage Discharge'!E$26:M$126,MATCH('Step 6 Quality Check'!C437,'Step 4 Stage Discharge'!E$26:E$126,1)+1,9)-INDEX('Step 4 Stage Discharge'!E$26:M$126,MATCH('Step 6 Quality Check'!C437,'Step 4 Stage Discharge'!E$26:E$126,1),9))*('Step 6 Quality Check'!C437-INDEX('Step 4 Stage Discharge'!E$26:M$126,MATCH('Step 6 Quality Check'!C437,'Step 4 Stage Discharge'!E$26:E$126,1),1))/(INDEX('Step 4 Stage Discharge'!E$26:M$126,MATCH('Step 6 Quality Check'!C437,'Step 4 Stage Discharge'!E$26:E$126,1)+1,1)-INDEX('Step 4 Stage Discharge'!E$26:M$126,MATCH('Step 6 Quality Check'!C437,'Step 4 Stage Discharge'!E$26:E$126,1),1))</f>
        <v>4.3639431710317386E-3</v>
      </c>
      <c r="F437" s="218">
        <f t="shared" si="30"/>
        <v>0</v>
      </c>
      <c r="G437" s="218">
        <f t="shared" si="31"/>
        <v>0</v>
      </c>
    </row>
    <row r="438" spans="1:7">
      <c r="A438" s="217">
        <f t="shared" si="32"/>
        <v>2110</v>
      </c>
      <c r="B438" s="216">
        <f t="shared" si="33"/>
        <v>99.1</v>
      </c>
      <c r="C438" s="218">
        <f t="shared" si="34"/>
        <v>0</v>
      </c>
      <c r="D438" s="219">
        <f>INDEX('Step 4 Stage Discharge'!E$26:F$126,MATCH(C438,'Step 4 Stage Discharge'!E$26:E$126,1),2)+(INDEX('Step 4 Stage Discharge'!E$26:F$126,MATCH(C438,'Step 4 Stage Discharge'!E$26:E$126,1)+1,2)-INDEX('Step 4 Stage Discharge'!E$26:F$126,MATCH(C438,'Step 4 Stage Discharge'!E$26:E$126,1),2))*(C438-INDEX('Step 4 Stage Discharge'!E$26:F$126,MATCH(C438,'Step 4 Stage Discharge'!E$26:E$126,1),1))/(INDEX('Step 4 Stage Discharge'!E$26:F$126,MATCH(C438,'Step 4 Stage Discharge'!E$26:E$126,1)+1,1)-INDEX('Step 4 Stage Discharge'!E$26:F$126,MATCH(C438,'Step 4 Stage Discharge'!E$26:E$126,1),1))</f>
        <v>0</v>
      </c>
      <c r="E438" s="219">
        <f>INDEX('Step 4 Stage Discharge'!E$26:M$126,MATCH(C438,'Step 4 Stage Discharge'!E$26:E$126,1),9)+(INDEX('Step 4 Stage Discharge'!E$26:M$126,MATCH('Step 6 Quality Check'!C438,'Step 4 Stage Discharge'!E$26:E$126,1)+1,9)-INDEX('Step 4 Stage Discharge'!E$26:M$126,MATCH('Step 6 Quality Check'!C438,'Step 4 Stage Discharge'!E$26:E$126,1),9))*('Step 6 Quality Check'!C438-INDEX('Step 4 Stage Discharge'!E$26:M$126,MATCH('Step 6 Quality Check'!C438,'Step 4 Stage Discharge'!E$26:E$126,1),1))/(INDEX('Step 4 Stage Discharge'!E$26:M$126,MATCH('Step 6 Quality Check'!C438,'Step 4 Stage Discharge'!E$26:E$126,1)+1,1)-INDEX('Step 4 Stage Discharge'!E$26:M$126,MATCH('Step 6 Quality Check'!C438,'Step 4 Stage Discharge'!E$26:E$126,1),1))</f>
        <v>4.3639431710317386E-3</v>
      </c>
      <c r="F438" s="218">
        <f t="shared" si="30"/>
        <v>0</v>
      </c>
      <c r="G438" s="218">
        <f t="shared" si="31"/>
        <v>0</v>
      </c>
    </row>
    <row r="439" spans="1:7">
      <c r="A439" s="217">
        <f t="shared" si="32"/>
        <v>2115</v>
      </c>
      <c r="B439" s="216">
        <f t="shared" si="33"/>
        <v>99.1</v>
      </c>
      <c r="C439" s="218">
        <f t="shared" si="34"/>
        <v>0</v>
      </c>
      <c r="D439" s="219">
        <f>INDEX('Step 4 Stage Discharge'!E$26:F$126,MATCH(C439,'Step 4 Stage Discharge'!E$26:E$126,1),2)+(INDEX('Step 4 Stage Discharge'!E$26:F$126,MATCH(C439,'Step 4 Stage Discharge'!E$26:E$126,1)+1,2)-INDEX('Step 4 Stage Discharge'!E$26:F$126,MATCH(C439,'Step 4 Stage Discharge'!E$26:E$126,1),2))*(C439-INDEX('Step 4 Stage Discharge'!E$26:F$126,MATCH(C439,'Step 4 Stage Discharge'!E$26:E$126,1),1))/(INDEX('Step 4 Stage Discharge'!E$26:F$126,MATCH(C439,'Step 4 Stage Discharge'!E$26:E$126,1)+1,1)-INDEX('Step 4 Stage Discharge'!E$26:F$126,MATCH(C439,'Step 4 Stage Discharge'!E$26:E$126,1),1))</f>
        <v>0</v>
      </c>
      <c r="E439" s="219">
        <f>INDEX('Step 4 Stage Discharge'!E$26:M$126,MATCH(C439,'Step 4 Stage Discharge'!E$26:E$126,1),9)+(INDEX('Step 4 Stage Discharge'!E$26:M$126,MATCH('Step 6 Quality Check'!C439,'Step 4 Stage Discharge'!E$26:E$126,1)+1,9)-INDEX('Step 4 Stage Discharge'!E$26:M$126,MATCH('Step 6 Quality Check'!C439,'Step 4 Stage Discharge'!E$26:E$126,1),9))*('Step 6 Quality Check'!C439-INDEX('Step 4 Stage Discharge'!E$26:M$126,MATCH('Step 6 Quality Check'!C439,'Step 4 Stage Discharge'!E$26:E$126,1),1))/(INDEX('Step 4 Stage Discharge'!E$26:M$126,MATCH('Step 6 Quality Check'!C439,'Step 4 Stage Discharge'!E$26:E$126,1)+1,1)-INDEX('Step 4 Stage Discharge'!E$26:M$126,MATCH('Step 6 Quality Check'!C439,'Step 4 Stage Discharge'!E$26:E$126,1),1))</f>
        <v>4.3639431710317386E-3</v>
      </c>
      <c r="F439" s="218">
        <f t="shared" si="30"/>
        <v>0</v>
      </c>
      <c r="G439" s="218">
        <f t="shared" si="31"/>
        <v>0</v>
      </c>
    </row>
    <row r="440" spans="1:7">
      <c r="A440" s="217">
        <f t="shared" si="32"/>
        <v>2120</v>
      </c>
      <c r="B440" s="216">
        <f t="shared" si="33"/>
        <v>99.1</v>
      </c>
      <c r="C440" s="218">
        <f t="shared" si="34"/>
        <v>0</v>
      </c>
      <c r="D440" s="219">
        <f>INDEX('Step 4 Stage Discharge'!E$26:F$126,MATCH(C440,'Step 4 Stage Discharge'!E$26:E$126,1),2)+(INDEX('Step 4 Stage Discharge'!E$26:F$126,MATCH(C440,'Step 4 Stage Discharge'!E$26:E$126,1)+1,2)-INDEX('Step 4 Stage Discharge'!E$26:F$126,MATCH(C440,'Step 4 Stage Discharge'!E$26:E$126,1),2))*(C440-INDEX('Step 4 Stage Discharge'!E$26:F$126,MATCH(C440,'Step 4 Stage Discharge'!E$26:E$126,1),1))/(INDEX('Step 4 Stage Discharge'!E$26:F$126,MATCH(C440,'Step 4 Stage Discharge'!E$26:E$126,1)+1,1)-INDEX('Step 4 Stage Discharge'!E$26:F$126,MATCH(C440,'Step 4 Stage Discharge'!E$26:E$126,1),1))</f>
        <v>0</v>
      </c>
      <c r="E440" s="219">
        <f>INDEX('Step 4 Stage Discharge'!E$26:M$126,MATCH(C440,'Step 4 Stage Discharge'!E$26:E$126,1),9)+(INDEX('Step 4 Stage Discharge'!E$26:M$126,MATCH('Step 6 Quality Check'!C440,'Step 4 Stage Discharge'!E$26:E$126,1)+1,9)-INDEX('Step 4 Stage Discharge'!E$26:M$126,MATCH('Step 6 Quality Check'!C440,'Step 4 Stage Discharge'!E$26:E$126,1),9))*('Step 6 Quality Check'!C440-INDEX('Step 4 Stage Discharge'!E$26:M$126,MATCH('Step 6 Quality Check'!C440,'Step 4 Stage Discharge'!E$26:E$126,1),1))/(INDEX('Step 4 Stage Discharge'!E$26:M$126,MATCH('Step 6 Quality Check'!C440,'Step 4 Stage Discharge'!E$26:E$126,1)+1,1)-INDEX('Step 4 Stage Discharge'!E$26:M$126,MATCH('Step 6 Quality Check'!C440,'Step 4 Stage Discharge'!E$26:E$126,1),1))</f>
        <v>4.3639431710317386E-3</v>
      </c>
      <c r="F440" s="218">
        <f t="shared" si="30"/>
        <v>0</v>
      </c>
      <c r="G440" s="218">
        <f t="shared" si="31"/>
        <v>0</v>
      </c>
    </row>
    <row r="441" spans="1:7">
      <c r="A441" s="217">
        <f t="shared" si="32"/>
        <v>2125</v>
      </c>
      <c r="B441" s="216">
        <f t="shared" si="33"/>
        <v>99.1</v>
      </c>
      <c r="C441" s="218">
        <f t="shared" si="34"/>
        <v>0</v>
      </c>
      <c r="D441" s="219">
        <f>INDEX('Step 4 Stage Discharge'!E$26:F$126,MATCH(C441,'Step 4 Stage Discharge'!E$26:E$126,1),2)+(INDEX('Step 4 Stage Discharge'!E$26:F$126,MATCH(C441,'Step 4 Stage Discharge'!E$26:E$126,1)+1,2)-INDEX('Step 4 Stage Discharge'!E$26:F$126,MATCH(C441,'Step 4 Stage Discharge'!E$26:E$126,1),2))*(C441-INDEX('Step 4 Stage Discharge'!E$26:F$126,MATCH(C441,'Step 4 Stage Discharge'!E$26:E$126,1),1))/(INDEX('Step 4 Stage Discharge'!E$26:F$126,MATCH(C441,'Step 4 Stage Discharge'!E$26:E$126,1)+1,1)-INDEX('Step 4 Stage Discharge'!E$26:F$126,MATCH(C441,'Step 4 Stage Discharge'!E$26:E$126,1),1))</f>
        <v>0</v>
      </c>
      <c r="E441" s="219">
        <f>INDEX('Step 4 Stage Discharge'!E$26:M$126,MATCH(C441,'Step 4 Stage Discharge'!E$26:E$126,1),9)+(INDEX('Step 4 Stage Discharge'!E$26:M$126,MATCH('Step 6 Quality Check'!C441,'Step 4 Stage Discharge'!E$26:E$126,1)+1,9)-INDEX('Step 4 Stage Discharge'!E$26:M$126,MATCH('Step 6 Quality Check'!C441,'Step 4 Stage Discharge'!E$26:E$126,1),9))*('Step 6 Quality Check'!C441-INDEX('Step 4 Stage Discharge'!E$26:M$126,MATCH('Step 6 Quality Check'!C441,'Step 4 Stage Discharge'!E$26:E$126,1),1))/(INDEX('Step 4 Stage Discharge'!E$26:M$126,MATCH('Step 6 Quality Check'!C441,'Step 4 Stage Discharge'!E$26:E$126,1)+1,1)-INDEX('Step 4 Stage Discharge'!E$26:M$126,MATCH('Step 6 Quality Check'!C441,'Step 4 Stage Discharge'!E$26:E$126,1),1))</f>
        <v>4.3639431710317386E-3</v>
      </c>
      <c r="F441" s="218">
        <f t="shared" si="30"/>
        <v>0</v>
      </c>
      <c r="G441" s="218">
        <f t="shared" si="31"/>
        <v>0</v>
      </c>
    </row>
    <row r="442" spans="1:7">
      <c r="A442" s="217">
        <f t="shared" si="32"/>
        <v>2130</v>
      </c>
      <c r="B442" s="216">
        <f t="shared" si="33"/>
        <v>99.1</v>
      </c>
      <c r="C442" s="218">
        <f t="shared" si="34"/>
        <v>0</v>
      </c>
      <c r="D442" s="219">
        <f>INDEX('Step 4 Stage Discharge'!E$26:F$126,MATCH(C442,'Step 4 Stage Discharge'!E$26:E$126,1),2)+(INDEX('Step 4 Stage Discharge'!E$26:F$126,MATCH(C442,'Step 4 Stage Discharge'!E$26:E$126,1)+1,2)-INDEX('Step 4 Stage Discharge'!E$26:F$126,MATCH(C442,'Step 4 Stage Discharge'!E$26:E$126,1),2))*(C442-INDEX('Step 4 Stage Discharge'!E$26:F$126,MATCH(C442,'Step 4 Stage Discharge'!E$26:E$126,1),1))/(INDEX('Step 4 Stage Discharge'!E$26:F$126,MATCH(C442,'Step 4 Stage Discharge'!E$26:E$126,1)+1,1)-INDEX('Step 4 Stage Discharge'!E$26:F$126,MATCH(C442,'Step 4 Stage Discharge'!E$26:E$126,1),1))</f>
        <v>0</v>
      </c>
      <c r="E442" s="219">
        <f>INDEX('Step 4 Stage Discharge'!E$26:M$126,MATCH(C442,'Step 4 Stage Discharge'!E$26:E$126,1),9)+(INDEX('Step 4 Stage Discharge'!E$26:M$126,MATCH('Step 6 Quality Check'!C442,'Step 4 Stage Discharge'!E$26:E$126,1)+1,9)-INDEX('Step 4 Stage Discharge'!E$26:M$126,MATCH('Step 6 Quality Check'!C442,'Step 4 Stage Discharge'!E$26:E$126,1),9))*('Step 6 Quality Check'!C442-INDEX('Step 4 Stage Discharge'!E$26:M$126,MATCH('Step 6 Quality Check'!C442,'Step 4 Stage Discharge'!E$26:E$126,1),1))/(INDEX('Step 4 Stage Discharge'!E$26:M$126,MATCH('Step 6 Quality Check'!C442,'Step 4 Stage Discharge'!E$26:E$126,1)+1,1)-INDEX('Step 4 Stage Discharge'!E$26:M$126,MATCH('Step 6 Quality Check'!C442,'Step 4 Stage Discharge'!E$26:E$126,1),1))</f>
        <v>4.3639431710317386E-3</v>
      </c>
      <c r="F442" s="218">
        <f t="shared" si="30"/>
        <v>0</v>
      </c>
      <c r="G442" s="218">
        <f t="shared" si="31"/>
        <v>0</v>
      </c>
    </row>
    <row r="443" spans="1:7">
      <c r="A443" s="217">
        <f t="shared" si="32"/>
        <v>2135</v>
      </c>
      <c r="B443" s="216">
        <f t="shared" si="33"/>
        <v>99.1</v>
      </c>
      <c r="C443" s="218">
        <f t="shared" si="34"/>
        <v>0</v>
      </c>
      <c r="D443" s="219">
        <f>INDEX('Step 4 Stage Discharge'!E$26:F$126,MATCH(C443,'Step 4 Stage Discharge'!E$26:E$126,1),2)+(INDEX('Step 4 Stage Discharge'!E$26:F$126,MATCH(C443,'Step 4 Stage Discharge'!E$26:E$126,1)+1,2)-INDEX('Step 4 Stage Discharge'!E$26:F$126,MATCH(C443,'Step 4 Stage Discharge'!E$26:E$126,1),2))*(C443-INDEX('Step 4 Stage Discharge'!E$26:F$126,MATCH(C443,'Step 4 Stage Discharge'!E$26:E$126,1),1))/(INDEX('Step 4 Stage Discharge'!E$26:F$126,MATCH(C443,'Step 4 Stage Discharge'!E$26:E$126,1)+1,1)-INDEX('Step 4 Stage Discharge'!E$26:F$126,MATCH(C443,'Step 4 Stage Discharge'!E$26:E$126,1),1))</f>
        <v>0</v>
      </c>
      <c r="E443" s="219">
        <f>INDEX('Step 4 Stage Discharge'!E$26:M$126,MATCH(C443,'Step 4 Stage Discharge'!E$26:E$126,1),9)+(INDEX('Step 4 Stage Discharge'!E$26:M$126,MATCH('Step 6 Quality Check'!C443,'Step 4 Stage Discharge'!E$26:E$126,1)+1,9)-INDEX('Step 4 Stage Discharge'!E$26:M$126,MATCH('Step 6 Quality Check'!C443,'Step 4 Stage Discharge'!E$26:E$126,1),9))*('Step 6 Quality Check'!C443-INDEX('Step 4 Stage Discharge'!E$26:M$126,MATCH('Step 6 Quality Check'!C443,'Step 4 Stage Discharge'!E$26:E$126,1),1))/(INDEX('Step 4 Stage Discharge'!E$26:M$126,MATCH('Step 6 Quality Check'!C443,'Step 4 Stage Discharge'!E$26:E$126,1)+1,1)-INDEX('Step 4 Stage Discharge'!E$26:M$126,MATCH('Step 6 Quality Check'!C443,'Step 4 Stage Discharge'!E$26:E$126,1),1))</f>
        <v>4.3639431710317386E-3</v>
      </c>
      <c r="F443" s="218">
        <f t="shared" si="30"/>
        <v>0</v>
      </c>
      <c r="G443" s="218">
        <f t="shared" si="31"/>
        <v>0</v>
      </c>
    </row>
    <row r="444" spans="1:7">
      <c r="A444" s="217">
        <f t="shared" si="32"/>
        <v>2140</v>
      </c>
      <c r="B444" s="216">
        <f t="shared" si="33"/>
        <v>99.1</v>
      </c>
      <c r="C444" s="218">
        <f t="shared" si="34"/>
        <v>0</v>
      </c>
      <c r="D444" s="219">
        <f>INDEX('Step 4 Stage Discharge'!E$26:F$126,MATCH(C444,'Step 4 Stage Discharge'!E$26:E$126,1),2)+(INDEX('Step 4 Stage Discharge'!E$26:F$126,MATCH(C444,'Step 4 Stage Discharge'!E$26:E$126,1)+1,2)-INDEX('Step 4 Stage Discharge'!E$26:F$126,MATCH(C444,'Step 4 Stage Discharge'!E$26:E$126,1),2))*(C444-INDEX('Step 4 Stage Discharge'!E$26:F$126,MATCH(C444,'Step 4 Stage Discharge'!E$26:E$126,1),1))/(INDEX('Step 4 Stage Discharge'!E$26:F$126,MATCH(C444,'Step 4 Stage Discharge'!E$26:E$126,1)+1,1)-INDEX('Step 4 Stage Discharge'!E$26:F$126,MATCH(C444,'Step 4 Stage Discharge'!E$26:E$126,1),1))</f>
        <v>0</v>
      </c>
      <c r="E444" s="219">
        <f>INDEX('Step 4 Stage Discharge'!E$26:M$126,MATCH(C444,'Step 4 Stage Discharge'!E$26:E$126,1),9)+(INDEX('Step 4 Stage Discharge'!E$26:M$126,MATCH('Step 6 Quality Check'!C444,'Step 4 Stage Discharge'!E$26:E$126,1)+1,9)-INDEX('Step 4 Stage Discharge'!E$26:M$126,MATCH('Step 6 Quality Check'!C444,'Step 4 Stage Discharge'!E$26:E$126,1),9))*('Step 6 Quality Check'!C444-INDEX('Step 4 Stage Discharge'!E$26:M$126,MATCH('Step 6 Quality Check'!C444,'Step 4 Stage Discharge'!E$26:E$126,1),1))/(INDEX('Step 4 Stage Discharge'!E$26:M$126,MATCH('Step 6 Quality Check'!C444,'Step 4 Stage Discharge'!E$26:E$126,1)+1,1)-INDEX('Step 4 Stage Discharge'!E$26:M$126,MATCH('Step 6 Quality Check'!C444,'Step 4 Stage Discharge'!E$26:E$126,1),1))</f>
        <v>4.3639431710317386E-3</v>
      </c>
      <c r="F444" s="218">
        <f t="shared" si="30"/>
        <v>0</v>
      </c>
      <c r="G444" s="218">
        <f t="shared" si="31"/>
        <v>0</v>
      </c>
    </row>
    <row r="445" spans="1:7">
      <c r="A445" s="217">
        <f t="shared" si="32"/>
        <v>2145</v>
      </c>
      <c r="B445" s="216">
        <f t="shared" si="33"/>
        <v>99.1</v>
      </c>
      <c r="C445" s="218">
        <f t="shared" si="34"/>
        <v>0</v>
      </c>
      <c r="D445" s="219">
        <f>INDEX('Step 4 Stage Discharge'!E$26:F$126,MATCH(C445,'Step 4 Stage Discharge'!E$26:E$126,1),2)+(INDEX('Step 4 Stage Discharge'!E$26:F$126,MATCH(C445,'Step 4 Stage Discharge'!E$26:E$126,1)+1,2)-INDEX('Step 4 Stage Discharge'!E$26:F$126,MATCH(C445,'Step 4 Stage Discharge'!E$26:E$126,1),2))*(C445-INDEX('Step 4 Stage Discharge'!E$26:F$126,MATCH(C445,'Step 4 Stage Discharge'!E$26:E$126,1),1))/(INDEX('Step 4 Stage Discharge'!E$26:F$126,MATCH(C445,'Step 4 Stage Discharge'!E$26:E$126,1)+1,1)-INDEX('Step 4 Stage Discharge'!E$26:F$126,MATCH(C445,'Step 4 Stage Discharge'!E$26:E$126,1),1))</f>
        <v>0</v>
      </c>
      <c r="E445" s="219">
        <f>INDEX('Step 4 Stage Discharge'!E$26:M$126,MATCH(C445,'Step 4 Stage Discharge'!E$26:E$126,1),9)+(INDEX('Step 4 Stage Discharge'!E$26:M$126,MATCH('Step 6 Quality Check'!C445,'Step 4 Stage Discharge'!E$26:E$126,1)+1,9)-INDEX('Step 4 Stage Discharge'!E$26:M$126,MATCH('Step 6 Quality Check'!C445,'Step 4 Stage Discharge'!E$26:E$126,1),9))*('Step 6 Quality Check'!C445-INDEX('Step 4 Stage Discharge'!E$26:M$126,MATCH('Step 6 Quality Check'!C445,'Step 4 Stage Discharge'!E$26:E$126,1),1))/(INDEX('Step 4 Stage Discharge'!E$26:M$126,MATCH('Step 6 Quality Check'!C445,'Step 4 Stage Discharge'!E$26:E$126,1)+1,1)-INDEX('Step 4 Stage Discharge'!E$26:M$126,MATCH('Step 6 Quality Check'!C445,'Step 4 Stage Discharge'!E$26:E$126,1),1))</f>
        <v>4.3639431710317386E-3</v>
      </c>
      <c r="F445" s="218">
        <f t="shared" si="30"/>
        <v>0</v>
      </c>
      <c r="G445" s="218">
        <f t="shared" si="31"/>
        <v>0</v>
      </c>
    </row>
    <row r="446" spans="1:7">
      <c r="A446" s="217">
        <f t="shared" si="32"/>
        <v>2150</v>
      </c>
      <c r="B446" s="216">
        <f t="shared" si="33"/>
        <v>99.1</v>
      </c>
      <c r="C446" s="218">
        <f t="shared" si="34"/>
        <v>0</v>
      </c>
      <c r="D446" s="219">
        <f>INDEX('Step 4 Stage Discharge'!E$26:F$126,MATCH(C446,'Step 4 Stage Discharge'!E$26:E$126,1),2)+(INDEX('Step 4 Stage Discharge'!E$26:F$126,MATCH(C446,'Step 4 Stage Discharge'!E$26:E$126,1)+1,2)-INDEX('Step 4 Stage Discharge'!E$26:F$126,MATCH(C446,'Step 4 Stage Discharge'!E$26:E$126,1),2))*(C446-INDEX('Step 4 Stage Discharge'!E$26:F$126,MATCH(C446,'Step 4 Stage Discharge'!E$26:E$126,1),1))/(INDEX('Step 4 Stage Discharge'!E$26:F$126,MATCH(C446,'Step 4 Stage Discharge'!E$26:E$126,1)+1,1)-INDEX('Step 4 Stage Discharge'!E$26:F$126,MATCH(C446,'Step 4 Stage Discharge'!E$26:E$126,1),1))</f>
        <v>0</v>
      </c>
      <c r="E446" s="219">
        <f>INDEX('Step 4 Stage Discharge'!E$26:M$126,MATCH(C446,'Step 4 Stage Discharge'!E$26:E$126,1),9)+(INDEX('Step 4 Stage Discharge'!E$26:M$126,MATCH('Step 6 Quality Check'!C446,'Step 4 Stage Discharge'!E$26:E$126,1)+1,9)-INDEX('Step 4 Stage Discharge'!E$26:M$126,MATCH('Step 6 Quality Check'!C446,'Step 4 Stage Discharge'!E$26:E$126,1),9))*('Step 6 Quality Check'!C446-INDEX('Step 4 Stage Discharge'!E$26:M$126,MATCH('Step 6 Quality Check'!C446,'Step 4 Stage Discharge'!E$26:E$126,1),1))/(INDEX('Step 4 Stage Discharge'!E$26:M$126,MATCH('Step 6 Quality Check'!C446,'Step 4 Stage Discharge'!E$26:E$126,1)+1,1)-INDEX('Step 4 Stage Discharge'!E$26:M$126,MATCH('Step 6 Quality Check'!C446,'Step 4 Stage Discharge'!E$26:E$126,1),1))</f>
        <v>4.3639431710317386E-3</v>
      </c>
      <c r="F446" s="218">
        <f t="shared" si="30"/>
        <v>0</v>
      </c>
      <c r="G446" s="218">
        <f t="shared" si="31"/>
        <v>0</v>
      </c>
    </row>
    <row r="447" spans="1:7">
      <c r="A447" s="217">
        <f t="shared" si="32"/>
        <v>2155</v>
      </c>
      <c r="B447" s="216">
        <f t="shared" si="33"/>
        <v>99.1</v>
      </c>
      <c r="C447" s="218">
        <f t="shared" si="34"/>
        <v>0</v>
      </c>
      <c r="D447" s="219">
        <f>INDEX('Step 4 Stage Discharge'!E$26:F$126,MATCH(C447,'Step 4 Stage Discharge'!E$26:E$126,1),2)+(INDEX('Step 4 Stage Discharge'!E$26:F$126,MATCH(C447,'Step 4 Stage Discharge'!E$26:E$126,1)+1,2)-INDEX('Step 4 Stage Discharge'!E$26:F$126,MATCH(C447,'Step 4 Stage Discharge'!E$26:E$126,1),2))*(C447-INDEX('Step 4 Stage Discharge'!E$26:F$126,MATCH(C447,'Step 4 Stage Discharge'!E$26:E$126,1),1))/(INDEX('Step 4 Stage Discharge'!E$26:F$126,MATCH(C447,'Step 4 Stage Discharge'!E$26:E$126,1)+1,1)-INDEX('Step 4 Stage Discharge'!E$26:F$126,MATCH(C447,'Step 4 Stage Discharge'!E$26:E$126,1),1))</f>
        <v>0</v>
      </c>
      <c r="E447" s="219">
        <f>INDEX('Step 4 Stage Discharge'!E$26:M$126,MATCH(C447,'Step 4 Stage Discharge'!E$26:E$126,1),9)+(INDEX('Step 4 Stage Discharge'!E$26:M$126,MATCH('Step 6 Quality Check'!C447,'Step 4 Stage Discharge'!E$26:E$126,1)+1,9)-INDEX('Step 4 Stage Discharge'!E$26:M$126,MATCH('Step 6 Quality Check'!C447,'Step 4 Stage Discharge'!E$26:E$126,1),9))*('Step 6 Quality Check'!C447-INDEX('Step 4 Stage Discharge'!E$26:M$126,MATCH('Step 6 Quality Check'!C447,'Step 4 Stage Discharge'!E$26:E$126,1),1))/(INDEX('Step 4 Stage Discharge'!E$26:M$126,MATCH('Step 6 Quality Check'!C447,'Step 4 Stage Discharge'!E$26:E$126,1)+1,1)-INDEX('Step 4 Stage Discharge'!E$26:M$126,MATCH('Step 6 Quality Check'!C447,'Step 4 Stage Discharge'!E$26:E$126,1),1))</f>
        <v>4.3639431710317386E-3</v>
      </c>
      <c r="F447" s="218">
        <f t="shared" si="30"/>
        <v>0</v>
      </c>
      <c r="G447" s="218">
        <f t="shared" si="31"/>
        <v>0</v>
      </c>
    </row>
    <row r="448" spans="1:7">
      <c r="A448" s="217">
        <f t="shared" si="32"/>
        <v>2160</v>
      </c>
      <c r="B448" s="216">
        <f t="shared" si="33"/>
        <v>99.1</v>
      </c>
      <c r="C448" s="218">
        <f t="shared" si="34"/>
        <v>0</v>
      </c>
      <c r="D448" s="219">
        <f>INDEX('Step 4 Stage Discharge'!E$26:F$126,MATCH(C448,'Step 4 Stage Discharge'!E$26:E$126,1),2)+(INDEX('Step 4 Stage Discharge'!E$26:F$126,MATCH(C448,'Step 4 Stage Discharge'!E$26:E$126,1)+1,2)-INDEX('Step 4 Stage Discharge'!E$26:F$126,MATCH(C448,'Step 4 Stage Discharge'!E$26:E$126,1),2))*(C448-INDEX('Step 4 Stage Discharge'!E$26:F$126,MATCH(C448,'Step 4 Stage Discharge'!E$26:E$126,1),1))/(INDEX('Step 4 Stage Discharge'!E$26:F$126,MATCH(C448,'Step 4 Stage Discharge'!E$26:E$126,1)+1,1)-INDEX('Step 4 Stage Discharge'!E$26:F$126,MATCH(C448,'Step 4 Stage Discharge'!E$26:E$126,1),1))</f>
        <v>0</v>
      </c>
      <c r="E448" s="219">
        <f>INDEX('Step 4 Stage Discharge'!E$26:M$126,MATCH(C448,'Step 4 Stage Discharge'!E$26:E$126,1),9)+(INDEX('Step 4 Stage Discharge'!E$26:M$126,MATCH('Step 6 Quality Check'!C448,'Step 4 Stage Discharge'!E$26:E$126,1)+1,9)-INDEX('Step 4 Stage Discharge'!E$26:M$126,MATCH('Step 6 Quality Check'!C448,'Step 4 Stage Discharge'!E$26:E$126,1),9))*('Step 6 Quality Check'!C448-INDEX('Step 4 Stage Discharge'!E$26:M$126,MATCH('Step 6 Quality Check'!C448,'Step 4 Stage Discharge'!E$26:E$126,1),1))/(INDEX('Step 4 Stage Discharge'!E$26:M$126,MATCH('Step 6 Quality Check'!C448,'Step 4 Stage Discharge'!E$26:E$126,1)+1,1)-INDEX('Step 4 Stage Discharge'!E$26:M$126,MATCH('Step 6 Quality Check'!C448,'Step 4 Stage Discharge'!E$26:E$126,1),1))</f>
        <v>4.3639431710317386E-3</v>
      </c>
      <c r="F448" s="218">
        <f t="shared" si="30"/>
        <v>0</v>
      </c>
      <c r="G448" s="218">
        <f t="shared" si="31"/>
        <v>0</v>
      </c>
    </row>
    <row r="449" spans="1:7">
      <c r="A449" s="217">
        <f t="shared" si="32"/>
        <v>2165</v>
      </c>
      <c r="B449" s="216">
        <f t="shared" si="33"/>
        <v>99.1</v>
      </c>
      <c r="C449" s="218">
        <f t="shared" si="34"/>
        <v>0</v>
      </c>
      <c r="D449" s="219">
        <f>INDEX('Step 4 Stage Discharge'!E$26:F$126,MATCH(C449,'Step 4 Stage Discharge'!E$26:E$126,1),2)+(INDEX('Step 4 Stage Discharge'!E$26:F$126,MATCH(C449,'Step 4 Stage Discharge'!E$26:E$126,1)+1,2)-INDEX('Step 4 Stage Discharge'!E$26:F$126,MATCH(C449,'Step 4 Stage Discharge'!E$26:E$126,1),2))*(C449-INDEX('Step 4 Stage Discharge'!E$26:F$126,MATCH(C449,'Step 4 Stage Discharge'!E$26:E$126,1),1))/(INDEX('Step 4 Stage Discharge'!E$26:F$126,MATCH(C449,'Step 4 Stage Discharge'!E$26:E$126,1)+1,1)-INDEX('Step 4 Stage Discharge'!E$26:F$126,MATCH(C449,'Step 4 Stage Discharge'!E$26:E$126,1),1))</f>
        <v>0</v>
      </c>
      <c r="E449" s="219">
        <f>INDEX('Step 4 Stage Discharge'!E$26:M$126,MATCH(C449,'Step 4 Stage Discharge'!E$26:E$126,1),9)+(INDEX('Step 4 Stage Discharge'!E$26:M$126,MATCH('Step 6 Quality Check'!C449,'Step 4 Stage Discharge'!E$26:E$126,1)+1,9)-INDEX('Step 4 Stage Discharge'!E$26:M$126,MATCH('Step 6 Quality Check'!C449,'Step 4 Stage Discharge'!E$26:E$126,1),9))*('Step 6 Quality Check'!C449-INDEX('Step 4 Stage Discharge'!E$26:M$126,MATCH('Step 6 Quality Check'!C449,'Step 4 Stage Discharge'!E$26:E$126,1),1))/(INDEX('Step 4 Stage Discharge'!E$26:M$126,MATCH('Step 6 Quality Check'!C449,'Step 4 Stage Discharge'!E$26:E$126,1)+1,1)-INDEX('Step 4 Stage Discharge'!E$26:M$126,MATCH('Step 6 Quality Check'!C449,'Step 4 Stage Discharge'!E$26:E$126,1),1))</f>
        <v>4.3639431710317386E-3</v>
      </c>
      <c r="F449" s="218">
        <f t="shared" si="30"/>
        <v>0</v>
      </c>
      <c r="G449" s="218">
        <f t="shared" si="31"/>
        <v>0</v>
      </c>
    </row>
    <row r="450" spans="1:7">
      <c r="A450" s="217">
        <f t="shared" si="32"/>
        <v>2170</v>
      </c>
      <c r="B450" s="216">
        <f t="shared" si="33"/>
        <v>99.1</v>
      </c>
      <c r="C450" s="218">
        <f t="shared" si="34"/>
        <v>0</v>
      </c>
      <c r="D450" s="219">
        <f>INDEX('Step 4 Stage Discharge'!E$26:F$126,MATCH(C450,'Step 4 Stage Discharge'!E$26:E$126,1),2)+(INDEX('Step 4 Stage Discharge'!E$26:F$126,MATCH(C450,'Step 4 Stage Discharge'!E$26:E$126,1)+1,2)-INDEX('Step 4 Stage Discharge'!E$26:F$126,MATCH(C450,'Step 4 Stage Discharge'!E$26:E$126,1),2))*(C450-INDEX('Step 4 Stage Discharge'!E$26:F$126,MATCH(C450,'Step 4 Stage Discharge'!E$26:E$126,1),1))/(INDEX('Step 4 Stage Discharge'!E$26:F$126,MATCH(C450,'Step 4 Stage Discharge'!E$26:E$126,1)+1,1)-INDEX('Step 4 Stage Discharge'!E$26:F$126,MATCH(C450,'Step 4 Stage Discharge'!E$26:E$126,1),1))</f>
        <v>0</v>
      </c>
      <c r="E450" s="219">
        <f>INDEX('Step 4 Stage Discharge'!E$26:M$126,MATCH(C450,'Step 4 Stage Discharge'!E$26:E$126,1),9)+(INDEX('Step 4 Stage Discharge'!E$26:M$126,MATCH('Step 6 Quality Check'!C450,'Step 4 Stage Discharge'!E$26:E$126,1)+1,9)-INDEX('Step 4 Stage Discharge'!E$26:M$126,MATCH('Step 6 Quality Check'!C450,'Step 4 Stage Discharge'!E$26:E$126,1),9))*('Step 6 Quality Check'!C450-INDEX('Step 4 Stage Discharge'!E$26:M$126,MATCH('Step 6 Quality Check'!C450,'Step 4 Stage Discharge'!E$26:E$126,1),1))/(INDEX('Step 4 Stage Discharge'!E$26:M$126,MATCH('Step 6 Quality Check'!C450,'Step 4 Stage Discharge'!E$26:E$126,1)+1,1)-INDEX('Step 4 Stage Discharge'!E$26:M$126,MATCH('Step 6 Quality Check'!C450,'Step 4 Stage Discharge'!E$26:E$126,1),1))</f>
        <v>4.3639431710317386E-3</v>
      </c>
      <c r="F450" s="218">
        <f t="shared" si="30"/>
        <v>0</v>
      </c>
      <c r="G450" s="218">
        <f t="shared" si="31"/>
        <v>0</v>
      </c>
    </row>
    <row r="451" spans="1:7">
      <c r="A451" s="217">
        <f t="shared" si="32"/>
        <v>2175</v>
      </c>
      <c r="B451" s="216">
        <f t="shared" si="33"/>
        <v>99.1</v>
      </c>
      <c r="C451" s="218">
        <f t="shared" si="34"/>
        <v>0</v>
      </c>
      <c r="D451" s="219">
        <f>INDEX('Step 4 Stage Discharge'!E$26:F$126,MATCH(C451,'Step 4 Stage Discharge'!E$26:E$126,1),2)+(INDEX('Step 4 Stage Discharge'!E$26:F$126,MATCH(C451,'Step 4 Stage Discharge'!E$26:E$126,1)+1,2)-INDEX('Step 4 Stage Discharge'!E$26:F$126,MATCH(C451,'Step 4 Stage Discharge'!E$26:E$126,1),2))*(C451-INDEX('Step 4 Stage Discharge'!E$26:F$126,MATCH(C451,'Step 4 Stage Discharge'!E$26:E$126,1),1))/(INDEX('Step 4 Stage Discharge'!E$26:F$126,MATCH(C451,'Step 4 Stage Discharge'!E$26:E$126,1)+1,1)-INDEX('Step 4 Stage Discharge'!E$26:F$126,MATCH(C451,'Step 4 Stage Discharge'!E$26:E$126,1),1))</f>
        <v>0</v>
      </c>
      <c r="E451" s="219">
        <f>INDEX('Step 4 Stage Discharge'!E$26:M$126,MATCH(C451,'Step 4 Stage Discharge'!E$26:E$126,1),9)+(INDEX('Step 4 Stage Discharge'!E$26:M$126,MATCH('Step 6 Quality Check'!C451,'Step 4 Stage Discharge'!E$26:E$126,1)+1,9)-INDEX('Step 4 Stage Discharge'!E$26:M$126,MATCH('Step 6 Quality Check'!C451,'Step 4 Stage Discharge'!E$26:E$126,1),9))*('Step 6 Quality Check'!C451-INDEX('Step 4 Stage Discharge'!E$26:M$126,MATCH('Step 6 Quality Check'!C451,'Step 4 Stage Discharge'!E$26:E$126,1),1))/(INDEX('Step 4 Stage Discharge'!E$26:M$126,MATCH('Step 6 Quality Check'!C451,'Step 4 Stage Discharge'!E$26:E$126,1)+1,1)-INDEX('Step 4 Stage Discharge'!E$26:M$126,MATCH('Step 6 Quality Check'!C451,'Step 4 Stage Discharge'!E$26:E$126,1),1))</f>
        <v>4.3639431710317386E-3</v>
      </c>
      <c r="F451" s="218">
        <f t="shared" si="30"/>
        <v>0</v>
      </c>
      <c r="G451" s="218">
        <f t="shared" si="31"/>
        <v>0</v>
      </c>
    </row>
    <row r="452" spans="1:7">
      <c r="A452" s="217">
        <f t="shared" si="32"/>
        <v>2180</v>
      </c>
      <c r="B452" s="216">
        <f t="shared" si="33"/>
        <v>99.1</v>
      </c>
      <c r="C452" s="218">
        <f t="shared" si="34"/>
        <v>0</v>
      </c>
      <c r="D452" s="219">
        <f>INDEX('Step 4 Stage Discharge'!E$26:F$126,MATCH(C452,'Step 4 Stage Discharge'!E$26:E$126,1),2)+(INDEX('Step 4 Stage Discharge'!E$26:F$126,MATCH(C452,'Step 4 Stage Discharge'!E$26:E$126,1)+1,2)-INDEX('Step 4 Stage Discharge'!E$26:F$126,MATCH(C452,'Step 4 Stage Discharge'!E$26:E$126,1),2))*(C452-INDEX('Step 4 Stage Discharge'!E$26:F$126,MATCH(C452,'Step 4 Stage Discharge'!E$26:E$126,1),1))/(INDEX('Step 4 Stage Discharge'!E$26:F$126,MATCH(C452,'Step 4 Stage Discharge'!E$26:E$126,1)+1,1)-INDEX('Step 4 Stage Discharge'!E$26:F$126,MATCH(C452,'Step 4 Stage Discharge'!E$26:E$126,1),1))</f>
        <v>0</v>
      </c>
      <c r="E452" s="219">
        <f>INDEX('Step 4 Stage Discharge'!E$26:M$126,MATCH(C452,'Step 4 Stage Discharge'!E$26:E$126,1),9)+(INDEX('Step 4 Stage Discharge'!E$26:M$126,MATCH('Step 6 Quality Check'!C452,'Step 4 Stage Discharge'!E$26:E$126,1)+1,9)-INDEX('Step 4 Stage Discharge'!E$26:M$126,MATCH('Step 6 Quality Check'!C452,'Step 4 Stage Discharge'!E$26:E$126,1),9))*('Step 6 Quality Check'!C452-INDEX('Step 4 Stage Discharge'!E$26:M$126,MATCH('Step 6 Quality Check'!C452,'Step 4 Stage Discharge'!E$26:E$126,1),1))/(INDEX('Step 4 Stage Discharge'!E$26:M$126,MATCH('Step 6 Quality Check'!C452,'Step 4 Stage Discharge'!E$26:E$126,1)+1,1)-INDEX('Step 4 Stage Discharge'!E$26:M$126,MATCH('Step 6 Quality Check'!C452,'Step 4 Stage Discharge'!E$26:E$126,1),1))</f>
        <v>4.3639431710317386E-3</v>
      </c>
      <c r="F452" s="218">
        <f t="shared" si="30"/>
        <v>0</v>
      </c>
      <c r="G452" s="218">
        <f t="shared" si="31"/>
        <v>0</v>
      </c>
    </row>
    <row r="453" spans="1:7">
      <c r="A453" s="217">
        <f t="shared" si="32"/>
        <v>2185</v>
      </c>
      <c r="B453" s="216">
        <f t="shared" si="33"/>
        <v>99.1</v>
      </c>
      <c r="C453" s="218">
        <f t="shared" si="34"/>
        <v>0</v>
      </c>
      <c r="D453" s="219">
        <f>INDEX('Step 4 Stage Discharge'!E$26:F$126,MATCH(C453,'Step 4 Stage Discharge'!E$26:E$126,1),2)+(INDEX('Step 4 Stage Discharge'!E$26:F$126,MATCH(C453,'Step 4 Stage Discharge'!E$26:E$126,1)+1,2)-INDEX('Step 4 Stage Discharge'!E$26:F$126,MATCH(C453,'Step 4 Stage Discharge'!E$26:E$126,1),2))*(C453-INDEX('Step 4 Stage Discharge'!E$26:F$126,MATCH(C453,'Step 4 Stage Discharge'!E$26:E$126,1),1))/(INDEX('Step 4 Stage Discharge'!E$26:F$126,MATCH(C453,'Step 4 Stage Discharge'!E$26:E$126,1)+1,1)-INDEX('Step 4 Stage Discharge'!E$26:F$126,MATCH(C453,'Step 4 Stage Discharge'!E$26:E$126,1),1))</f>
        <v>0</v>
      </c>
      <c r="E453" s="219">
        <f>INDEX('Step 4 Stage Discharge'!E$26:M$126,MATCH(C453,'Step 4 Stage Discharge'!E$26:E$126,1),9)+(INDEX('Step 4 Stage Discharge'!E$26:M$126,MATCH('Step 6 Quality Check'!C453,'Step 4 Stage Discharge'!E$26:E$126,1)+1,9)-INDEX('Step 4 Stage Discharge'!E$26:M$126,MATCH('Step 6 Quality Check'!C453,'Step 4 Stage Discharge'!E$26:E$126,1),9))*('Step 6 Quality Check'!C453-INDEX('Step 4 Stage Discharge'!E$26:M$126,MATCH('Step 6 Quality Check'!C453,'Step 4 Stage Discharge'!E$26:E$126,1),1))/(INDEX('Step 4 Stage Discharge'!E$26:M$126,MATCH('Step 6 Quality Check'!C453,'Step 4 Stage Discharge'!E$26:E$126,1)+1,1)-INDEX('Step 4 Stage Discharge'!E$26:M$126,MATCH('Step 6 Quality Check'!C453,'Step 4 Stage Discharge'!E$26:E$126,1),1))</f>
        <v>4.3639431710317386E-3</v>
      </c>
      <c r="F453" s="218">
        <f t="shared" si="30"/>
        <v>0</v>
      </c>
      <c r="G453" s="218">
        <f t="shared" si="31"/>
        <v>0</v>
      </c>
    </row>
    <row r="454" spans="1:7">
      <c r="A454" s="217">
        <f t="shared" si="32"/>
        <v>2190</v>
      </c>
      <c r="B454" s="216">
        <f t="shared" si="33"/>
        <v>99.1</v>
      </c>
      <c r="C454" s="218">
        <f t="shared" si="34"/>
        <v>0</v>
      </c>
      <c r="D454" s="219">
        <f>INDEX('Step 4 Stage Discharge'!E$26:F$126,MATCH(C454,'Step 4 Stage Discharge'!E$26:E$126,1),2)+(INDEX('Step 4 Stage Discharge'!E$26:F$126,MATCH(C454,'Step 4 Stage Discharge'!E$26:E$126,1)+1,2)-INDEX('Step 4 Stage Discharge'!E$26:F$126,MATCH(C454,'Step 4 Stage Discharge'!E$26:E$126,1),2))*(C454-INDEX('Step 4 Stage Discharge'!E$26:F$126,MATCH(C454,'Step 4 Stage Discharge'!E$26:E$126,1),1))/(INDEX('Step 4 Stage Discharge'!E$26:F$126,MATCH(C454,'Step 4 Stage Discharge'!E$26:E$126,1)+1,1)-INDEX('Step 4 Stage Discharge'!E$26:F$126,MATCH(C454,'Step 4 Stage Discharge'!E$26:E$126,1),1))</f>
        <v>0</v>
      </c>
      <c r="E454" s="219">
        <f>INDEX('Step 4 Stage Discharge'!E$26:M$126,MATCH(C454,'Step 4 Stage Discharge'!E$26:E$126,1),9)+(INDEX('Step 4 Stage Discharge'!E$26:M$126,MATCH('Step 6 Quality Check'!C454,'Step 4 Stage Discharge'!E$26:E$126,1)+1,9)-INDEX('Step 4 Stage Discharge'!E$26:M$126,MATCH('Step 6 Quality Check'!C454,'Step 4 Stage Discharge'!E$26:E$126,1),9))*('Step 6 Quality Check'!C454-INDEX('Step 4 Stage Discharge'!E$26:M$126,MATCH('Step 6 Quality Check'!C454,'Step 4 Stage Discharge'!E$26:E$126,1),1))/(INDEX('Step 4 Stage Discharge'!E$26:M$126,MATCH('Step 6 Quality Check'!C454,'Step 4 Stage Discharge'!E$26:E$126,1)+1,1)-INDEX('Step 4 Stage Discharge'!E$26:M$126,MATCH('Step 6 Quality Check'!C454,'Step 4 Stage Discharge'!E$26:E$126,1),1))</f>
        <v>4.3639431710317386E-3</v>
      </c>
      <c r="F454" s="218">
        <f t="shared" si="30"/>
        <v>0</v>
      </c>
      <c r="G454" s="218">
        <f t="shared" si="31"/>
        <v>0</v>
      </c>
    </row>
    <row r="455" spans="1:7">
      <c r="A455" s="217">
        <f t="shared" si="32"/>
        <v>2195</v>
      </c>
      <c r="B455" s="216">
        <f t="shared" si="33"/>
        <v>99.1</v>
      </c>
      <c r="C455" s="218">
        <f t="shared" si="34"/>
        <v>0</v>
      </c>
      <c r="D455" s="219">
        <f>INDEX('Step 4 Stage Discharge'!E$26:F$126,MATCH(C455,'Step 4 Stage Discharge'!E$26:E$126,1),2)+(INDEX('Step 4 Stage Discharge'!E$26:F$126,MATCH(C455,'Step 4 Stage Discharge'!E$26:E$126,1)+1,2)-INDEX('Step 4 Stage Discharge'!E$26:F$126,MATCH(C455,'Step 4 Stage Discharge'!E$26:E$126,1),2))*(C455-INDEX('Step 4 Stage Discharge'!E$26:F$126,MATCH(C455,'Step 4 Stage Discharge'!E$26:E$126,1),1))/(INDEX('Step 4 Stage Discharge'!E$26:F$126,MATCH(C455,'Step 4 Stage Discharge'!E$26:E$126,1)+1,1)-INDEX('Step 4 Stage Discharge'!E$26:F$126,MATCH(C455,'Step 4 Stage Discharge'!E$26:E$126,1),1))</f>
        <v>0</v>
      </c>
      <c r="E455" s="219">
        <f>INDEX('Step 4 Stage Discharge'!E$26:M$126,MATCH(C455,'Step 4 Stage Discharge'!E$26:E$126,1),9)+(INDEX('Step 4 Stage Discharge'!E$26:M$126,MATCH('Step 6 Quality Check'!C455,'Step 4 Stage Discharge'!E$26:E$126,1)+1,9)-INDEX('Step 4 Stage Discharge'!E$26:M$126,MATCH('Step 6 Quality Check'!C455,'Step 4 Stage Discharge'!E$26:E$126,1),9))*('Step 6 Quality Check'!C455-INDEX('Step 4 Stage Discharge'!E$26:M$126,MATCH('Step 6 Quality Check'!C455,'Step 4 Stage Discharge'!E$26:E$126,1),1))/(INDEX('Step 4 Stage Discharge'!E$26:M$126,MATCH('Step 6 Quality Check'!C455,'Step 4 Stage Discharge'!E$26:E$126,1)+1,1)-INDEX('Step 4 Stage Discharge'!E$26:M$126,MATCH('Step 6 Quality Check'!C455,'Step 4 Stage Discharge'!E$26:E$126,1),1))</f>
        <v>4.3639431710317386E-3</v>
      </c>
      <c r="F455" s="218">
        <f t="shared" si="30"/>
        <v>0</v>
      </c>
      <c r="G455" s="218">
        <f t="shared" si="31"/>
        <v>0</v>
      </c>
    </row>
    <row r="456" spans="1:7">
      <c r="A456" s="217">
        <f t="shared" si="32"/>
        <v>2200</v>
      </c>
      <c r="B456" s="216">
        <f t="shared" si="33"/>
        <v>99.1</v>
      </c>
      <c r="C456" s="218">
        <f t="shared" si="34"/>
        <v>0</v>
      </c>
      <c r="D456" s="219">
        <f>INDEX('Step 4 Stage Discharge'!E$26:F$126,MATCH(C456,'Step 4 Stage Discharge'!E$26:E$126,1),2)+(INDEX('Step 4 Stage Discharge'!E$26:F$126,MATCH(C456,'Step 4 Stage Discharge'!E$26:E$126,1)+1,2)-INDEX('Step 4 Stage Discharge'!E$26:F$126,MATCH(C456,'Step 4 Stage Discharge'!E$26:E$126,1),2))*(C456-INDEX('Step 4 Stage Discharge'!E$26:F$126,MATCH(C456,'Step 4 Stage Discharge'!E$26:E$126,1),1))/(INDEX('Step 4 Stage Discharge'!E$26:F$126,MATCH(C456,'Step 4 Stage Discharge'!E$26:E$126,1)+1,1)-INDEX('Step 4 Stage Discharge'!E$26:F$126,MATCH(C456,'Step 4 Stage Discharge'!E$26:E$126,1),1))</f>
        <v>0</v>
      </c>
      <c r="E456" s="219">
        <f>INDEX('Step 4 Stage Discharge'!E$26:M$126,MATCH(C456,'Step 4 Stage Discharge'!E$26:E$126,1),9)+(INDEX('Step 4 Stage Discharge'!E$26:M$126,MATCH('Step 6 Quality Check'!C456,'Step 4 Stage Discharge'!E$26:E$126,1)+1,9)-INDEX('Step 4 Stage Discharge'!E$26:M$126,MATCH('Step 6 Quality Check'!C456,'Step 4 Stage Discharge'!E$26:E$126,1),9))*('Step 6 Quality Check'!C456-INDEX('Step 4 Stage Discharge'!E$26:M$126,MATCH('Step 6 Quality Check'!C456,'Step 4 Stage Discharge'!E$26:E$126,1),1))/(INDEX('Step 4 Stage Discharge'!E$26:M$126,MATCH('Step 6 Quality Check'!C456,'Step 4 Stage Discharge'!E$26:E$126,1)+1,1)-INDEX('Step 4 Stage Discharge'!E$26:M$126,MATCH('Step 6 Quality Check'!C456,'Step 4 Stage Discharge'!E$26:E$126,1),1))</f>
        <v>4.3639431710317386E-3</v>
      </c>
      <c r="F456" s="218">
        <f t="shared" si="30"/>
        <v>0</v>
      </c>
      <c r="G456" s="218">
        <f t="shared" si="31"/>
        <v>0</v>
      </c>
    </row>
    <row r="457" spans="1:7">
      <c r="A457" s="217">
        <f t="shared" si="32"/>
        <v>2205</v>
      </c>
      <c r="B457" s="216">
        <f t="shared" si="33"/>
        <v>99.1</v>
      </c>
      <c r="C457" s="218">
        <f t="shared" si="34"/>
        <v>0</v>
      </c>
      <c r="D457" s="219">
        <f>INDEX('Step 4 Stage Discharge'!E$26:F$126,MATCH(C457,'Step 4 Stage Discharge'!E$26:E$126,1),2)+(INDEX('Step 4 Stage Discharge'!E$26:F$126,MATCH(C457,'Step 4 Stage Discharge'!E$26:E$126,1)+1,2)-INDEX('Step 4 Stage Discharge'!E$26:F$126,MATCH(C457,'Step 4 Stage Discharge'!E$26:E$126,1),2))*(C457-INDEX('Step 4 Stage Discharge'!E$26:F$126,MATCH(C457,'Step 4 Stage Discharge'!E$26:E$126,1),1))/(INDEX('Step 4 Stage Discharge'!E$26:F$126,MATCH(C457,'Step 4 Stage Discharge'!E$26:E$126,1)+1,1)-INDEX('Step 4 Stage Discharge'!E$26:F$126,MATCH(C457,'Step 4 Stage Discharge'!E$26:E$126,1),1))</f>
        <v>0</v>
      </c>
      <c r="E457" s="219">
        <f>INDEX('Step 4 Stage Discharge'!E$26:M$126,MATCH(C457,'Step 4 Stage Discharge'!E$26:E$126,1),9)+(INDEX('Step 4 Stage Discharge'!E$26:M$126,MATCH('Step 6 Quality Check'!C457,'Step 4 Stage Discharge'!E$26:E$126,1)+1,9)-INDEX('Step 4 Stage Discharge'!E$26:M$126,MATCH('Step 6 Quality Check'!C457,'Step 4 Stage Discharge'!E$26:E$126,1),9))*('Step 6 Quality Check'!C457-INDEX('Step 4 Stage Discharge'!E$26:M$126,MATCH('Step 6 Quality Check'!C457,'Step 4 Stage Discharge'!E$26:E$126,1),1))/(INDEX('Step 4 Stage Discharge'!E$26:M$126,MATCH('Step 6 Quality Check'!C457,'Step 4 Stage Discharge'!E$26:E$126,1)+1,1)-INDEX('Step 4 Stage Discharge'!E$26:M$126,MATCH('Step 6 Quality Check'!C457,'Step 4 Stage Discharge'!E$26:E$126,1),1))</f>
        <v>4.3639431710317386E-3</v>
      </c>
      <c r="F457" s="218">
        <f t="shared" si="30"/>
        <v>0</v>
      </c>
      <c r="G457" s="218">
        <f t="shared" si="31"/>
        <v>0</v>
      </c>
    </row>
    <row r="458" spans="1:7">
      <c r="A458" s="217">
        <f t="shared" si="32"/>
        <v>2210</v>
      </c>
      <c r="B458" s="216">
        <f t="shared" si="33"/>
        <v>99.1</v>
      </c>
      <c r="C458" s="218">
        <f t="shared" si="34"/>
        <v>0</v>
      </c>
      <c r="D458" s="219">
        <f>INDEX('Step 4 Stage Discharge'!E$26:F$126,MATCH(C458,'Step 4 Stage Discharge'!E$26:E$126,1),2)+(INDEX('Step 4 Stage Discharge'!E$26:F$126,MATCH(C458,'Step 4 Stage Discharge'!E$26:E$126,1)+1,2)-INDEX('Step 4 Stage Discharge'!E$26:F$126,MATCH(C458,'Step 4 Stage Discharge'!E$26:E$126,1),2))*(C458-INDEX('Step 4 Stage Discharge'!E$26:F$126,MATCH(C458,'Step 4 Stage Discharge'!E$26:E$126,1),1))/(INDEX('Step 4 Stage Discharge'!E$26:F$126,MATCH(C458,'Step 4 Stage Discharge'!E$26:E$126,1)+1,1)-INDEX('Step 4 Stage Discharge'!E$26:F$126,MATCH(C458,'Step 4 Stage Discharge'!E$26:E$126,1),1))</f>
        <v>0</v>
      </c>
      <c r="E458" s="219">
        <f>INDEX('Step 4 Stage Discharge'!E$26:M$126,MATCH(C458,'Step 4 Stage Discharge'!E$26:E$126,1),9)+(INDEX('Step 4 Stage Discharge'!E$26:M$126,MATCH('Step 6 Quality Check'!C458,'Step 4 Stage Discharge'!E$26:E$126,1)+1,9)-INDEX('Step 4 Stage Discharge'!E$26:M$126,MATCH('Step 6 Quality Check'!C458,'Step 4 Stage Discharge'!E$26:E$126,1),9))*('Step 6 Quality Check'!C458-INDEX('Step 4 Stage Discharge'!E$26:M$126,MATCH('Step 6 Quality Check'!C458,'Step 4 Stage Discharge'!E$26:E$126,1),1))/(INDEX('Step 4 Stage Discharge'!E$26:M$126,MATCH('Step 6 Quality Check'!C458,'Step 4 Stage Discharge'!E$26:E$126,1)+1,1)-INDEX('Step 4 Stage Discharge'!E$26:M$126,MATCH('Step 6 Quality Check'!C458,'Step 4 Stage Discharge'!E$26:E$126,1),1))</f>
        <v>4.3639431710317386E-3</v>
      </c>
      <c r="F458" s="218">
        <f t="shared" si="30"/>
        <v>0</v>
      </c>
      <c r="G458" s="218">
        <f t="shared" si="31"/>
        <v>0</v>
      </c>
    </row>
    <row r="459" spans="1:7">
      <c r="A459" s="217">
        <f t="shared" si="32"/>
        <v>2215</v>
      </c>
      <c r="B459" s="216">
        <f t="shared" si="33"/>
        <v>99.1</v>
      </c>
      <c r="C459" s="218">
        <f t="shared" si="34"/>
        <v>0</v>
      </c>
      <c r="D459" s="219">
        <f>INDEX('Step 4 Stage Discharge'!E$26:F$126,MATCH(C459,'Step 4 Stage Discharge'!E$26:E$126,1),2)+(INDEX('Step 4 Stage Discharge'!E$26:F$126,MATCH(C459,'Step 4 Stage Discharge'!E$26:E$126,1)+1,2)-INDEX('Step 4 Stage Discharge'!E$26:F$126,MATCH(C459,'Step 4 Stage Discharge'!E$26:E$126,1),2))*(C459-INDEX('Step 4 Stage Discharge'!E$26:F$126,MATCH(C459,'Step 4 Stage Discharge'!E$26:E$126,1),1))/(INDEX('Step 4 Stage Discharge'!E$26:F$126,MATCH(C459,'Step 4 Stage Discharge'!E$26:E$126,1)+1,1)-INDEX('Step 4 Stage Discharge'!E$26:F$126,MATCH(C459,'Step 4 Stage Discharge'!E$26:E$126,1),1))</f>
        <v>0</v>
      </c>
      <c r="E459" s="219">
        <f>INDEX('Step 4 Stage Discharge'!E$26:M$126,MATCH(C459,'Step 4 Stage Discharge'!E$26:E$126,1),9)+(INDEX('Step 4 Stage Discharge'!E$26:M$126,MATCH('Step 6 Quality Check'!C459,'Step 4 Stage Discharge'!E$26:E$126,1)+1,9)-INDEX('Step 4 Stage Discharge'!E$26:M$126,MATCH('Step 6 Quality Check'!C459,'Step 4 Stage Discharge'!E$26:E$126,1),9))*('Step 6 Quality Check'!C459-INDEX('Step 4 Stage Discharge'!E$26:M$126,MATCH('Step 6 Quality Check'!C459,'Step 4 Stage Discharge'!E$26:E$126,1),1))/(INDEX('Step 4 Stage Discharge'!E$26:M$126,MATCH('Step 6 Quality Check'!C459,'Step 4 Stage Discharge'!E$26:E$126,1)+1,1)-INDEX('Step 4 Stage Discharge'!E$26:M$126,MATCH('Step 6 Quality Check'!C459,'Step 4 Stage Discharge'!E$26:E$126,1),1))</f>
        <v>4.3639431710317386E-3</v>
      </c>
      <c r="F459" s="218">
        <f t="shared" si="30"/>
        <v>0</v>
      </c>
      <c r="G459" s="218">
        <f t="shared" si="31"/>
        <v>0</v>
      </c>
    </row>
    <row r="460" spans="1:7">
      <c r="A460" s="217">
        <f t="shared" si="32"/>
        <v>2220</v>
      </c>
      <c r="B460" s="216">
        <f t="shared" si="33"/>
        <v>99.1</v>
      </c>
      <c r="C460" s="218">
        <f t="shared" si="34"/>
        <v>0</v>
      </c>
      <c r="D460" s="219">
        <f>INDEX('Step 4 Stage Discharge'!E$26:F$126,MATCH(C460,'Step 4 Stage Discharge'!E$26:E$126,1),2)+(INDEX('Step 4 Stage Discharge'!E$26:F$126,MATCH(C460,'Step 4 Stage Discharge'!E$26:E$126,1)+1,2)-INDEX('Step 4 Stage Discharge'!E$26:F$126,MATCH(C460,'Step 4 Stage Discharge'!E$26:E$126,1),2))*(C460-INDEX('Step 4 Stage Discharge'!E$26:F$126,MATCH(C460,'Step 4 Stage Discharge'!E$26:E$126,1),1))/(INDEX('Step 4 Stage Discharge'!E$26:F$126,MATCH(C460,'Step 4 Stage Discharge'!E$26:E$126,1)+1,1)-INDEX('Step 4 Stage Discharge'!E$26:F$126,MATCH(C460,'Step 4 Stage Discharge'!E$26:E$126,1),1))</f>
        <v>0</v>
      </c>
      <c r="E460" s="219">
        <f>INDEX('Step 4 Stage Discharge'!E$26:M$126,MATCH(C460,'Step 4 Stage Discharge'!E$26:E$126,1),9)+(INDEX('Step 4 Stage Discharge'!E$26:M$126,MATCH('Step 6 Quality Check'!C460,'Step 4 Stage Discharge'!E$26:E$126,1)+1,9)-INDEX('Step 4 Stage Discharge'!E$26:M$126,MATCH('Step 6 Quality Check'!C460,'Step 4 Stage Discharge'!E$26:E$126,1),9))*('Step 6 Quality Check'!C460-INDEX('Step 4 Stage Discharge'!E$26:M$126,MATCH('Step 6 Quality Check'!C460,'Step 4 Stage Discharge'!E$26:E$126,1),1))/(INDEX('Step 4 Stage Discharge'!E$26:M$126,MATCH('Step 6 Quality Check'!C460,'Step 4 Stage Discharge'!E$26:E$126,1)+1,1)-INDEX('Step 4 Stage Discharge'!E$26:M$126,MATCH('Step 6 Quality Check'!C460,'Step 4 Stage Discharge'!E$26:E$126,1),1))</f>
        <v>4.3639431710317386E-3</v>
      </c>
      <c r="F460" s="218">
        <f t="shared" si="30"/>
        <v>0</v>
      </c>
      <c r="G460" s="218">
        <f t="shared" si="31"/>
        <v>0</v>
      </c>
    </row>
    <row r="461" spans="1:7">
      <c r="A461" s="217">
        <f t="shared" si="32"/>
        <v>2225</v>
      </c>
      <c r="B461" s="216">
        <f t="shared" si="33"/>
        <v>99.1</v>
      </c>
      <c r="C461" s="218">
        <f t="shared" si="34"/>
        <v>0</v>
      </c>
      <c r="D461" s="219">
        <f>INDEX('Step 4 Stage Discharge'!E$26:F$126,MATCH(C461,'Step 4 Stage Discharge'!E$26:E$126,1),2)+(INDEX('Step 4 Stage Discharge'!E$26:F$126,MATCH(C461,'Step 4 Stage Discharge'!E$26:E$126,1)+1,2)-INDEX('Step 4 Stage Discharge'!E$26:F$126,MATCH(C461,'Step 4 Stage Discharge'!E$26:E$126,1),2))*(C461-INDEX('Step 4 Stage Discharge'!E$26:F$126,MATCH(C461,'Step 4 Stage Discharge'!E$26:E$126,1),1))/(INDEX('Step 4 Stage Discharge'!E$26:F$126,MATCH(C461,'Step 4 Stage Discharge'!E$26:E$126,1)+1,1)-INDEX('Step 4 Stage Discharge'!E$26:F$126,MATCH(C461,'Step 4 Stage Discharge'!E$26:E$126,1),1))</f>
        <v>0</v>
      </c>
      <c r="E461" s="219">
        <f>INDEX('Step 4 Stage Discharge'!E$26:M$126,MATCH(C461,'Step 4 Stage Discharge'!E$26:E$126,1),9)+(INDEX('Step 4 Stage Discharge'!E$26:M$126,MATCH('Step 6 Quality Check'!C461,'Step 4 Stage Discharge'!E$26:E$126,1)+1,9)-INDEX('Step 4 Stage Discharge'!E$26:M$126,MATCH('Step 6 Quality Check'!C461,'Step 4 Stage Discharge'!E$26:E$126,1),9))*('Step 6 Quality Check'!C461-INDEX('Step 4 Stage Discharge'!E$26:M$126,MATCH('Step 6 Quality Check'!C461,'Step 4 Stage Discharge'!E$26:E$126,1),1))/(INDEX('Step 4 Stage Discharge'!E$26:M$126,MATCH('Step 6 Quality Check'!C461,'Step 4 Stage Discharge'!E$26:E$126,1)+1,1)-INDEX('Step 4 Stage Discharge'!E$26:M$126,MATCH('Step 6 Quality Check'!C461,'Step 4 Stage Discharge'!E$26:E$126,1),1))</f>
        <v>4.3639431710317386E-3</v>
      </c>
      <c r="F461" s="218">
        <f t="shared" si="30"/>
        <v>0</v>
      </c>
      <c r="G461" s="218">
        <f t="shared" si="31"/>
        <v>0</v>
      </c>
    </row>
    <row r="462" spans="1:7">
      <c r="A462" s="217">
        <f t="shared" si="32"/>
        <v>2230</v>
      </c>
      <c r="B462" s="216">
        <f t="shared" si="33"/>
        <v>99.1</v>
      </c>
      <c r="C462" s="218">
        <f t="shared" si="34"/>
        <v>0</v>
      </c>
      <c r="D462" s="219">
        <f>INDEX('Step 4 Stage Discharge'!E$26:F$126,MATCH(C462,'Step 4 Stage Discharge'!E$26:E$126,1),2)+(INDEX('Step 4 Stage Discharge'!E$26:F$126,MATCH(C462,'Step 4 Stage Discharge'!E$26:E$126,1)+1,2)-INDEX('Step 4 Stage Discharge'!E$26:F$126,MATCH(C462,'Step 4 Stage Discharge'!E$26:E$126,1),2))*(C462-INDEX('Step 4 Stage Discharge'!E$26:F$126,MATCH(C462,'Step 4 Stage Discharge'!E$26:E$126,1),1))/(INDEX('Step 4 Stage Discharge'!E$26:F$126,MATCH(C462,'Step 4 Stage Discharge'!E$26:E$126,1)+1,1)-INDEX('Step 4 Stage Discharge'!E$26:F$126,MATCH(C462,'Step 4 Stage Discharge'!E$26:E$126,1),1))</f>
        <v>0</v>
      </c>
      <c r="E462" s="219">
        <f>INDEX('Step 4 Stage Discharge'!E$26:M$126,MATCH(C462,'Step 4 Stage Discharge'!E$26:E$126,1),9)+(INDEX('Step 4 Stage Discharge'!E$26:M$126,MATCH('Step 6 Quality Check'!C462,'Step 4 Stage Discharge'!E$26:E$126,1)+1,9)-INDEX('Step 4 Stage Discharge'!E$26:M$126,MATCH('Step 6 Quality Check'!C462,'Step 4 Stage Discharge'!E$26:E$126,1),9))*('Step 6 Quality Check'!C462-INDEX('Step 4 Stage Discharge'!E$26:M$126,MATCH('Step 6 Quality Check'!C462,'Step 4 Stage Discharge'!E$26:E$126,1),1))/(INDEX('Step 4 Stage Discharge'!E$26:M$126,MATCH('Step 6 Quality Check'!C462,'Step 4 Stage Discharge'!E$26:E$126,1)+1,1)-INDEX('Step 4 Stage Discharge'!E$26:M$126,MATCH('Step 6 Quality Check'!C462,'Step 4 Stage Discharge'!E$26:E$126,1),1))</f>
        <v>4.3639431710317386E-3</v>
      </c>
      <c r="F462" s="218">
        <f t="shared" si="30"/>
        <v>0</v>
      </c>
      <c r="G462" s="218">
        <f t="shared" si="31"/>
        <v>0</v>
      </c>
    </row>
    <row r="463" spans="1:7">
      <c r="A463" s="217">
        <f t="shared" si="32"/>
        <v>2235</v>
      </c>
      <c r="B463" s="216">
        <f t="shared" si="33"/>
        <v>99.1</v>
      </c>
      <c r="C463" s="218">
        <f t="shared" si="34"/>
        <v>0</v>
      </c>
      <c r="D463" s="219">
        <f>INDEX('Step 4 Stage Discharge'!E$26:F$126,MATCH(C463,'Step 4 Stage Discharge'!E$26:E$126,1),2)+(INDEX('Step 4 Stage Discharge'!E$26:F$126,MATCH(C463,'Step 4 Stage Discharge'!E$26:E$126,1)+1,2)-INDEX('Step 4 Stage Discharge'!E$26:F$126,MATCH(C463,'Step 4 Stage Discharge'!E$26:E$126,1),2))*(C463-INDEX('Step 4 Stage Discharge'!E$26:F$126,MATCH(C463,'Step 4 Stage Discharge'!E$26:E$126,1),1))/(INDEX('Step 4 Stage Discharge'!E$26:F$126,MATCH(C463,'Step 4 Stage Discharge'!E$26:E$126,1)+1,1)-INDEX('Step 4 Stage Discharge'!E$26:F$126,MATCH(C463,'Step 4 Stage Discharge'!E$26:E$126,1),1))</f>
        <v>0</v>
      </c>
      <c r="E463" s="219">
        <f>INDEX('Step 4 Stage Discharge'!E$26:M$126,MATCH(C463,'Step 4 Stage Discharge'!E$26:E$126,1),9)+(INDEX('Step 4 Stage Discharge'!E$26:M$126,MATCH('Step 6 Quality Check'!C463,'Step 4 Stage Discharge'!E$26:E$126,1)+1,9)-INDEX('Step 4 Stage Discharge'!E$26:M$126,MATCH('Step 6 Quality Check'!C463,'Step 4 Stage Discharge'!E$26:E$126,1),9))*('Step 6 Quality Check'!C463-INDEX('Step 4 Stage Discharge'!E$26:M$126,MATCH('Step 6 Quality Check'!C463,'Step 4 Stage Discharge'!E$26:E$126,1),1))/(INDEX('Step 4 Stage Discharge'!E$26:M$126,MATCH('Step 6 Quality Check'!C463,'Step 4 Stage Discharge'!E$26:E$126,1)+1,1)-INDEX('Step 4 Stage Discharge'!E$26:M$126,MATCH('Step 6 Quality Check'!C463,'Step 4 Stage Discharge'!E$26:E$126,1),1))</f>
        <v>4.3639431710317386E-3</v>
      </c>
      <c r="F463" s="218">
        <f t="shared" si="30"/>
        <v>0</v>
      </c>
      <c r="G463" s="218">
        <f t="shared" si="31"/>
        <v>0</v>
      </c>
    </row>
    <row r="464" spans="1:7">
      <c r="A464" s="217">
        <f t="shared" si="32"/>
        <v>2240</v>
      </c>
      <c r="B464" s="216">
        <f t="shared" si="33"/>
        <v>99.1</v>
      </c>
      <c r="C464" s="218">
        <f t="shared" si="34"/>
        <v>0</v>
      </c>
      <c r="D464" s="219">
        <f>INDEX('Step 4 Stage Discharge'!E$26:F$126,MATCH(C464,'Step 4 Stage Discharge'!E$26:E$126,1),2)+(INDEX('Step 4 Stage Discharge'!E$26:F$126,MATCH(C464,'Step 4 Stage Discharge'!E$26:E$126,1)+1,2)-INDEX('Step 4 Stage Discharge'!E$26:F$126,MATCH(C464,'Step 4 Stage Discharge'!E$26:E$126,1),2))*(C464-INDEX('Step 4 Stage Discharge'!E$26:F$126,MATCH(C464,'Step 4 Stage Discharge'!E$26:E$126,1),1))/(INDEX('Step 4 Stage Discharge'!E$26:F$126,MATCH(C464,'Step 4 Stage Discharge'!E$26:E$126,1)+1,1)-INDEX('Step 4 Stage Discharge'!E$26:F$126,MATCH(C464,'Step 4 Stage Discharge'!E$26:E$126,1),1))</f>
        <v>0</v>
      </c>
      <c r="E464" s="219">
        <f>INDEX('Step 4 Stage Discharge'!E$26:M$126,MATCH(C464,'Step 4 Stage Discharge'!E$26:E$126,1),9)+(INDEX('Step 4 Stage Discharge'!E$26:M$126,MATCH('Step 6 Quality Check'!C464,'Step 4 Stage Discharge'!E$26:E$126,1)+1,9)-INDEX('Step 4 Stage Discharge'!E$26:M$126,MATCH('Step 6 Quality Check'!C464,'Step 4 Stage Discharge'!E$26:E$126,1),9))*('Step 6 Quality Check'!C464-INDEX('Step 4 Stage Discharge'!E$26:M$126,MATCH('Step 6 Quality Check'!C464,'Step 4 Stage Discharge'!E$26:E$126,1),1))/(INDEX('Step 4 Stage Discharge'!E$26:M$126,MATCH('Step 6 Quality Check'!C464,'Step 4 Stage Discharge'!E$26:E$126,1)+1,1)-INDEX('Step 4 Stage Discharge'!E$26:M$126,MATCH('Step 6 Quality Check'!C464,'Step 4 Stage Discharge'!E$26:E$126,1),1))</f>
        <v>4.3639431710317386E-3</v>
      </c>
      <c r="F464" s="218">
        <f t="shared" ref="F464:F527" si="35">IF(E464*60*C$9&gt;C464,C464,E464*60*C$9)</f>
        <v>0</v>
      </c>
      <c r="G464" s="218">
        <f t="shared" ref="G464:G527" si="36">IF(C464-F464&lt;0,0,C464-F464)</f>
        <v>0</v>
      </c>
    </row>
    <row r="465" spans="1:7">
      <c r="A465" s="217">
        <f t="shared" ref="A465:A528" si="37">+A464+C$9</f>
        <v>2245</v>
      </c>
      <c r="B465" s="216">
        <f t="shared" si="33"/>
        <v>99.1</v>
      </c>
      <c r="C465" s="218">
        <f t="shared" si="34"/>
        <v>0</v>
      </c>
      <c r="D465" s="219">
        <f>INDEX('Step 4 Stage Discharge'!E$26:F$126,MATCH(C465,'Step 4 Stage Discharge'!E$26:E$126,1),2)+(INDEX('Step 4 Stage Discharge'!E$26:F$126,MATCH(C465,'Step 4 Stage Discharge'!E$26:E$126,1)+1,2)-INDEX('Step 4 Stage Discharge'!E$26:F$126,MATCH(C465,'Step 4 Stage Discharge'!E$26:E$126,1),2))*(C465-INDEX('Step 4 Stage Discharge'!E$26:F$126,MATCH(C465,'Step 4 Stage Discharge'!E$26:E$126,1),1))/(INDEX('Step 4 Stage Discharge'!E$26:F$126,MATCH(C465,'Step 4 Stage Discharge'!E$26:E$126,1)+1,1)-INDEX('Step 4 Stage Discharge'!E$26:F$126,MATCH(C465,'Step 4 Stage Discharge'!E$26:E$126,1),1))</f>
        <v>0</v>
      </c>
      <c r="E465" s="219">
        <f>INDEX('Step 4 Stage Discharge'!E$26:M$126,MATCH(C465,'Step 4 Stage Discharge'!E$26:E$126,1),9)+(INDEX('Step 4 Stage Discharge'!E$26:M$126,MATCH('Step 6 Quality Check'!C465,'Step 4 Stage Discharge'!E$26:E$126,1)+1,9)-INDEX('Step 4 Stage Discharge'!E$26:M$126,MATCH('Step 6 Quality Check'!C465,'Step 4 Stage Discharge'!E$26:E$126,1),9))*('Step 6 Quality Check'!C465-INDEX('Step 4 Stage Discharge'!E$26:M$126,MATCH('Step 6 Quality Check'!C465,'Step 4 Stage Discharge'!E$26:E$126,1),1))/(INDEX('Step 4 Stage Discharge'!E$26:M$126,MATCH('Step 6 Quality Check'!C465,'Step 4 Stage Discharge'!E$26:E$126,1)+1,1)-INDEX('Step 4 Stage Discharge'!E$26:M$126,MATCH('Step 6 Quality Check'!C465,'Step 4 Stage Discharge'!E$26:E$126,1),1))</f>
        <v>4.3639431710317386E-3</v>
      </c>
      <c r="F465" s="218">
        <f t="shared" si="35"/>
        <v>0</v>
      </c>
      <c r="G465" s="218">
        <f t="shared" si="36"/>
        <v>0</v>
      </c>
    </row>
    <row r="466" spans="1:7">
      <c r="A466" s="217">
        <f t="shared" si="37"/>
        <v>2250</v>
      </c>
      <c r="B466" s="216">
        <f t="shared" ref="B466:B529" si="38">C$6+D466</f>
        <v>99.1</v>
      </c>
      <c r="C466" s="218">
        <f t="shared" ref="C466:C529" si="39">+G465</f>
        <v>0</v>
      </c>
      <c r="D466" s="219">
        <f>INDEX('Step 4 Stage Discharge'!E$26:F$126,MATCH(C466,'Step 4 Stage Discharge'!E$26:E$126,1),2)+(INDEX('Step 4 Stage Discharge'!E$26:F$126,MATCH(C466,'Step 4 Stage Discharge'!E$26:E$126,1)+1,2)-INDEX('Step 4 Stage Discharge'!E$26:F$126,MATCH(C466,'Step 4 Stage Discharge'!E$26:E$126,1),2))*(C466-INDEX('Step 4 Stage Discharge'!E$26:F$126,MATCH(C466,'Step 4 Stage Discharge'!E$26:E$126,1),1))/(INDEX('Step 4 Stage Discharge'!E$26:F$126,MATCH(C466,'Step 4 Stage Discharge'!E$26:E$126,1)+1,1)-INDEX('Step 4 Stage Discharge'!E$26:F$126,MATCH(C466,'Step 4 Stage Discharge'!E$26:E$126,1),1))</f>
        <v>0</v>
      </c>
      <c r="E466" s="219">
        <f>INDEX('Step 4 Stage Discharge'!E$26:M$126,MATCH(C466,'Step 4 Stage Discharge'!E$26:E$126,1),9)+(INDEX('Step 4 Stage Discharge'!E$26:M$126,MATCH('Step 6 Quality Check'!C466,'Step 4 Stage Discharge'!E$26:E$126,1)+1,9)-INDEX('Step 4 Stage Discharge'!E$26:M$126,MATCH('Step 6 Quality Check'!C466,'Step 4 Stage Discharge'!E$26:E$126,1),9))*('Step 6 Quality Check'!C466-INDEX('Step 4 Stage Discharge'!E$26:M$126,MATCH('Step 6 Quality Check'!C466,'Step 4 Stage Discharge'!E$26:E$126,1),1))/(INDEX('Step 4 Stage Discharge'!E$26:M$126,MATCH('Step 6 Quality Check'!C466,'Step 4 Stage Discharge'!E$26:E$126,1)+1,1)-INDEX('Step 4 Stage Discharge'!E$26:M$126,MATCH('Step 6 Quality Check'!C466,'Step 4 Stage Discharge'!E$26:E$126,1),1))</f>
        <v>4.3639431710317386E-3</v>
      </c>
      <c r="F466" s="218">
        <f t="shared" si="35"/>
        <v>0</v>
      </c>
      <c r="G466" s="218">
        <f t="shared" si="36"/>
        <v>0</v>
      </c>
    </row>
    <row r="467" spans="1:7">
      <c r="A467" s="217">
        <f t="shared" si="37"/>
        <v>2255</v>
      </c>
      <c r="B467" s="216">
        <f t="shared" si="38"/>
        <v>99.1</v>
      </c>
      <c r="C467" s="218">
        <f t="shared" si="39"/>
        <v>0</v>
      </c>
      <c r="D467" s="219">
        <f>INDEX('Step 4 Stage Discharge'!E$26:F$126,MATCH(C467,'Step 4 Stage Discharge'!E$26:E$126,1),2)+(INDEX('Step 4 Stage Discharge'!E$26:F$126,MATCH(C467,'Step 4 Stage Discharge'!E$26:E$126,1)+1,2)-INDEX('Step 4 Stage Discharge'!E$26:F$126,MATCH(C467,'Step 4 Stage Discharge'!E$26:E$126,1),2))*(C467-INDEX('Step 4 Stage Discharge'!E$26:F$126,MATCH(C467,'Step 4 Stage Discharge'!E$26:E$126,1),1))/(INDEX('Step 4 Stage Discharge'!E$26:F$126,MATCH(C467,'Step 4 Stage Discharge'!E$26:E$126,1)+1,1)-INDEX('Step 4 Stage Discharge'!E$26:F$126,MATCH(C467,'Step 4 Stage Discharge'!E$26:E$126,1),1))</f>
        <v>0</v>
      </c>
      <c r="E467" s="219">
        <f>INDEX('Step 4 Stage Discharge'!E$26:M$126,MATCH(C467,'Step 4 Stage Discharge'!E$26:E$126,1),9)+(INDEX('Step 4 Stage Discharge'!E$26:M$126,MATCH('Step 6 Quality Check'!C467,'Step 4 Stage Discharge'!E$26:E$126,1)+1,9)-INDEX('Step 4 Stage Discharge'!E$26:M$126,MATCH('Step 6 Quality Check'!C467,'Step 4 Stage Discharge'!E$26:E$126,1),9))*('Step 6 Quality Check'!C467-INDEX('Step 4 Stage Discharge'!E$26:M$126,MATCH('Step 6 Quality Check'!C467,'Step 4 Stage Discharge'!E$26:E$126,1),1))/(INDEX('Step 4 Stage Discharge'!E$26:M$126,MATCH('Step 6 Quality Check'!C467,'Step 4 Stage Discharge'!E$26:E$126,1)+1,1)-INDEX('Step 4 Stage Discharge'!E$26:M$126,MATCH('Step 6 Quality Check'!C467,'Step 4 Stage Discharge'!E$26:E$126,1),1))</f>
        <v>4.3639431710317386E-3</v>
      </c>
      <c r="F467" s="218">
        <f t="shared" si="35"/>
        <v>0</v>
      </c>
      <c r="G467" s="218">
        <f t="shared" si="36"/>
        <v>0</v>
      </c>
    </row>
    <row r="468" spans="1:7">
      <c r="A468" s="217">
        <f t="shared" si="37"/>
        <v>2260</v>
      </c>
      <c r="B468" s="216">
        <f t="shared" si="38"/>
        <v>99.1</v>
      </c>
      <c r="C468" s="218">
        <f t="shared" si="39"/>
        <v>0</v>
      </c>
      <c r="D468" s="219">
        <f>INDEX('Step 4 Stage Discharge'!E$26:F$126,MATCH(C468,'Step 4 Stage Discharge'!E$26:E$126,1),2)+(INDEX('Step 4 Stage Discharge'!E$26:F$126,MATCH(C468,'Step 4 Stage Discharge'!E$26:E$126,1)+1,2)-INDEX('Step 4 Stage Discharge'!E$26:F$126,MATCH(C468,'Step 4 Stage Discharge'!E$26:E$126,1),2))*(C468-INDEX('Step 4 Stage Discharge'!E$26:F$126,MATCH(C468,'Step 4 Stage Discharge'!E$26:E$126,1),1))/(INDEX('Step 4 Stage Discharge'!E$26:F$126,MATCH(C468,'Step 4 Stage Discharge'!E$26:E$126,1)+1,1)-INDEX('Step 4 Stage Discharge'!E$26:F$126,MATCH(C468,'Step 4 Stage Discharge'!E$26:E$126,1),1))</f>
        <v>0</v>
      </c>
      <c r="E468" s="219">
        <f>INDEX('Step 4 Stage Discharge'!E$26:M$126,MATCH(C468,'Step 4 Stage Discharge'!E$26:E$126,1),9)+(INDEX('Step 4 Stage Discharge'!E$26:M$126,MATCH('Step 6 Quality Check'!C468,'Step 4 Stage Discharge'!E$26:E$126,1)+1,9)-INDEX('Step 4 Stage Discharge'!E$26:M$126,MATCH('Step 6 Quality Check'!C468,'Step 4 Stage Discharge'!E$26:E$126,1),9))*('Step 6 Quality Check'!C468-INDEX('Step 4 Stage Discharge'!E$26:M$126,MATCH('Step 6 Quality Check'!C468,'Step 4 Stage Discharge'!E$26:E$126,1),1))/(INDEX('Step 4 Stage Discharge'!E$26:M$126,MATCH('Step 6 Quality Check'!C468,'Step 4 Stage Discharge'!E$26:E$126,1)+1,1)-INDEX('Step 4 Stage Discharge'!E$26:M$126,MATCH('Step 6 Quality Check'!C468,'Step 4 Stage Discharge'!E$26:E$126,1),1))</f>
        <v>4.3639431710317386E-3</v>
      </c>
      <c r="F468" s="218">
        <f t="shared" si="35"/>
        <v>0</v>
      </c>
      <c r="G468" s="218">
        <f t="shared" si="36"/>
        <v>0</v>
      </c>
    </row>
    <row r="469" spans="1:7">
      <c r="A469" s="217">
        <f t="shared" si="37"/>
        <v>2265</v>
      </c>
      <c r="B469" s="216">
        <f t="shared" si="38"/>
        <v>99.1</v>
      </c>
      <c r="C469" s="218">
        <f t="shared" si="39"/>
        <v>0</v>
      </c>
      <c r="D469" s="219">
        <f>INDEX('Step 4 Stage Discharge'!E$26:F$126,MATCH(C469,'Step 4 Stage Discharge'!E$26:E$126,1),2)+(INDEX('Step 4 Stage Discharge'!E$26:F$126,MATCH(C469,'Step 4 Stage Discharge'!E$26:E$126,1)+1,2)-INDEX('Step 4 Stage Discharge'!E$26:F$126,MATCH(C469,'Step 4 Stage Discharge'!E$26:E$126,1),2))*(C469-INDEX('Step 4 Stage Discharge'!E$26:F$126,MATCH(C469,'Step 4 Stage Discharge'!E$26:E$126,1),1))/(INDEX('Step 4 Stage Discharge'!E$26:F$126,MATCH(C469,'Step 4 Stage Discharge'!E$26:E$126,1)+1,1)-INDEX('Step 4 Stage Discharge'!E$26:F$126,MATCH(C469,'Step 4 Stage Discharge'!E$26:E$126,1),1))</f>
        <v>0</v>
      </c>
      <c r="E469" s="219">
        <f>INDEX('Step 4 Stage Discharge'!E$26:M$126,MATCH(C469,'Step 4 Stage Discharge'!E$26:E$126,1),9)+(INDEX('Step 4 Stage Discharge'!E$26:M$126,MATCH('Step 6 Quality Check'!C469,'Step 4 Stage Discharge'!E$26:E$126,1)+1,9)-INDEX('Step 4 Stage Discharge'!E$26:M$126,MATCH('Step 6 Quality Check'!C469,'Step 4 Stage Discharge'!E$26:E$126,1),9))*('Step 6 Quality Check'!C469-INDEX('Step 4 Stage Discharge'!E$26:M$126,MATCH('Step 6 Quality Check'!C469,'Step 4 Stage Discharge'!E$26:E$126,1),1))/(INDEX('Step 4 Stage Discharge'!E$26:M$126,MATCH('Step 6 Quality Check'!C469,'Step 4 Stage Discharge'!E$26:E$126,1)+1,1)-INDEX('Step 4 Stage Discharge'!E$26:M$126,MATCH('Step 6 Quality Check'!C469,'Step 4 Stage Discharge'!E$26:E$126,1),1))</f>
        <v>4.3639431710317386E-3</v>
      </c>
      <c r="F469" s="218">
        <f t="shared" si="35"/>
        <v>0</v>
      </c>
      <c r="G469" s="218">
        <f t="shared" si="36"/>
        <v>0</v>
      </c>
    </row>
    <row r="470" spans="1:7">
      <c r="A470" s="217">
        <f t="shared" si="37"/>
        <v>2270</v>
      </c>
      <c r="B470" s="216">
        <f t="shared" si="38"/>
        <v>99.1</v>
      </c>
      <c r="C470" s="218">
        <f t="shared" si="39"/>
        <v>0</v>
      </c>
      <c r="D470" s="219">
        <f>INDEX('Step 4 Stage Discharge'!E$26:F$126,MATCH(C470,'Step 4 Stage Discharge'!E$26:E$126,1),2)+(INDEX('Step 4 Stage Discharge'!E$26:F$126,MATCH(C470,'Step 4 Stage Discharge'!E$26:E$126,1)+1,2)-INDEX('Step 4 Stage Discharge'!E$26:F$126,MATCH(C470,'Step 4 Stage Discharge'!E$26:E$126,1),2))*(C470-INDEX('Step 4 Stage Discharge'!E$26:F$126,MATCH(C470,'Step 4 Stage Discharge'!E$26:E$126,1),1))/(INDEX('Step 4 Stage Discharge'!E$26:F$126,MATCH(C470,'Step 4 Stage Discharge'!E$26:E$126,1)+1,1)-INDEX('Step 4 Stage Discharge'!E$26:F$126,MATCH(C470,'Step 4 Stage Discharge'!E$26:E$126,1),1))</f>
        <v>0</v>
      </c>
      <c r="E470" s="219">
        <f>INDEX('Step 4 Stage Discharge'!E$26:M$126,MATCH(C470,'Step 4 Stage Discharge'!E$26:E$126,1),9)+(INDEX('Step 4 Stage Discharge'!E$26:M$126,MATCH('Step 6 Quality Check'!C470,'Step 4 Stage Discharge'!E$26:E$126,1)+1,9)-INDEX('Step 4 Stage Discharge'!E$26:M$126,MATCH('Step 6 Quality Check'!C470,'Step 4 Stage Discharge'!E$26:E$126,1),9))*('Step 6 Quality Check'!C470-INDEX('Step 4 Stage Discharge'!E$26:M$126,MATCH('Step 6 Quality Check'!C470,'Step 4 Stage Discharge'!E$26:E$126,1),1))/(INDEX('Step 4 Stage Discharge'!E$26:M$126,MATCH('Step 6 Quality Check'!C470,'Step 4 Stage Discharge'!E$26:E$126,1)+1,1)-INDEX('Step 4 Stage Discharge'!E$26:M$126,MATCH('Step 6 Quality Check'!C470,'Step 4 Stage Discharge'!E$26:E$126,1),1))</f>
        <v>4.3639431710317386E-3</v>
      </c>
      <c r="F470" s="218">
        <f t="shared" si="35"/>
        <v>0</v>
      </c>
      <c r="G470" s="218">
        <f t="shared" si="36"/>
        <v>0</v>
      </c>
    </row>
    <row r="471" spans="1:7">
      <c r="A471" s="217">
        <f t="shared" si="37"/>
        <v>2275</v>
      </c>
      <c r="B471" s="216">
        <f t="shared" si="38"/>
        <v>99.1</v>
      </c>
      <c r="C471" s="218">
        <f t="shared" si="39"/>
        <v>0</v>
      </c>
      <c r="D471" s="219">
        <f>INDEX('Step 4 Stage Discharge'!E$26:F$126,MATCH(C471,'Step 4 Stage Discharge'!E$26:E$126,1),2)+(INDEX('Step 4 Stage Discharge'!E$26:F$126,MATCH(C471,'Step 4 Stage Discharge'!E$26:E$126,1)+1,2)-INDEX('Step 4 Stage Discharge'!E$26:F$126,MATCH(C471,'Step 4 Stage Discharge'!E$26:E$126,1),2))*(C471-INDEX('Step 4 Stage Discharge'!E$26:F$126,MATCH(C471,'Step 4 Stage Discharge'!E$26:E$126,1),1))/(INDEX('Step 4 Stage Discharge'!E$26:F$126,MATCH(C471,'Step 4 Stage Discharge'!E$26:E$126,1)+1,1)-INDEX('Step 4 Stage Discharge'!E$26:F$126,MATCH(C471,'Step 4 Stage Discharge'!E$26:E$126,1),1))</f>
        <v>0</v>
      </c>
      <c r="E471" s="219">
        <f>INDEX('Step 4 Stage Discharge'!E$26:M$126,MATCH(C471,'Step 4 Stage Discharge'!E$26:E$126,1),9)+(INDEX('Step 4 Stage Discharge'!E$26:M$126,MATCH('Step 6 Quality Check'!C471,'Step 4 Stage Discharge'!E$26:E$126,1)+1,9)-INDEX('Step 4 Stage Discharge'!E$26:M$126,MATCH('Step 6 Quality Check'!C471,'Step 4 Stage Discharge'!E$26:E$126,1),9))*('Step 6 Quality Check'!C471-INDEX('Step 4 Stage Discharge'!E$26:M$126,MATCH('Step 6 Quality Check'!C471,'Step 4 Stage Discharge'!E$26:E$126,1),1))/(INDEX('Step 4 Stage Discharge'!E$26:M$126,MATCH('Step 6 Quality Check'!C471,'Step 4 Stage Discharge'!E$26:E$126,1)+1,1)-INDEX('Step 4 Stage Discharge'!E$26:M$126,MATCH('Step 6 Quality Check'!C471,'Step 4 Stage Discharge'!E$26:E$126,1),1))</f>
        <v>4.3639431710317386E-3</v>
      </c>
      <c r="F471" s="218">
        <f t="shared" si="35"/>
        <v>0</v>
      </c>
      <c r="G471" s="218">
        <f t="shared" si="36"/>
        <v>0</v>
      </c>
    </row>
    <row r="472" spans="1:7">
      <c r="A472" s="217">
        <f t="shared" si="37"/>
        <v>2280</v>
      </c>
      <c r="B472" s="216">
        <f t="shared" si="38"/>
        <v>99.1</v>
      </c>
      <c r="C472" s="218">
        <f t="shared" si="39"/>
        <v>0</v>
      </c>
      <c r="D472" s="219">
        <f>INDEX('Step 4 Stage Discharge'!E$26:F$126,MATCH(C472,'Step 4 Stage Discharge'!E$26:E$126,1),2)+(INDEX('Step 4 Stage Discharge'!E$26:F$126,MATCH(C472,'Step 4 Stage Discharge'!E$26:E$126,1)+1,2)-INDEX('Step 4 Stage Discharge'!E$26:F$126,MATCH(C472,'Step 4 Stage Discharge'!E$26:E$126,1),2))*(C472-INDEX('Step 4 Stage Discharge'!E$26:F$126,MATCH(C472,'Step 4 Stage Discharge'!E$26:E$126,1),1))/(INDEX('Step 4 Stage Discharge'!E$26:F$126,MATCH(C472,'Step 4 Stage Discharge'!E$26:E$126,1)+1,1)-INDEX('Step 4 Stage Discharge'!E$26:F$126,MATCH(C472,'Step 4 Stage Discharge'!E$26:E$126,1),1))</f>
        <v>0</v>
      </c>
      <c r="E472" s="219">
        <f>INDEX('Step 4 Stage Discharge'!E$26:M$126,MATCH(C472,'Step 4 Stage Discharge'!E$26:E$126,1),9)+(INDEX('Step 4 Stage Discharge'!E$26:M$126,MATCH('Step 6 Quality Check'!C472,'Step 4 Stage Discharge'!E$26:E$126,1)+1,9)-INDEX('Step 4 Stage Discharge'!E$26:M$126,MATCH('Step 6 Quality Check'!C472,'Step 4 Stage Discharge'!E$26:E$126,1),9))*('Step 6 Quality Check'!C472-INDEX('Step 4 Stage Discharge'!E$26:M$126,MATCH('Step 6 Quality Check'!C472,'Step 4 Stage Discharge'!E$26:E$126,1),1))/(INDEX('Step 4 Stage Discharge'!E$26:M$126,MATCH('Step 6 Quality Check'!C472,'Step 4 Stage Discharge'!E$26:E$126,1)+1,1)-INDEX('Step 4 Stage Discharge'!E$26:M$126,MATCH('Step 6 Quality Check'!C472,'Step 4 Stage Discharge'!E$26:E$126,1),1))</f>
        <v>4.3639431710317386E-3</v>
      </c>
      <c r="F472" s="218">
        <f t="shared" si="35"/>
        <v>0</v>
      </c>
      <c r="G472" s="218">
        <f t="shared" si="36"/>
        <v>0</v>
      </c>
    </row>
    <row r="473" spans="1:7">
      <c r="A473" s="217">
        <f t="shared" si="37"/>
        <v>2285</v>
      </c>
      <c r="B473" s="216">
        <f t="shared" si="38"/>
        <v>99.1</v>
      </c>
      <c r="C473" s="218">
        <f t="shared" si="39"/>
        <v>0</v>
      </c>
      <c r="D473" s="219">
        <f>INDEX('Step 4 Stage Discharge'!E$26:F$126,MATCH(C473,'Step 4 Stage Discharge'!E$26:E$126,1),2)+(INDEX('Step 4 Stage Discharge'!E$26:F$126,MATCH(C473,'Step 4 Stage Discharge'!E$26:E$126,1)+1,2)-INDEX('Step 4 Stage Discharge'!E$26:F$126,MATCH(C473,'Step 4 Stage Discharge'!E$26:E$126,1),2))*(C473-INDEX('Step 4 Stage Discharge'!E$26:F$126,MATCH(C473,'Step 4 Stage Discharge'!E$26:E$126,1),1))/(INDEX('Step 4 Stage Discharge'!E$26:F$126,MATCH(C473,'Step 4 Stage Discharge'!E$26:E$126,1)+1,1)-INDEX('Step 4 Stage Discharge'!E$26:F$126,MATCH(C473,'Step 4 Stage Discharge'!E$26:E$126,1),1))</f>
        <v>0</v>
      </c>
      <c r="E473" s="219">
        <f>INDEX('Step 4 Stage Discharge'!E$26:M$126,MATCH(C473,'Step 4 Stage Discharge'!E$26:E$126,1),9)+(INDEX('Step 4 Stage Discharge'!E$26:M$126,MATCH('Step 6 Quality Check'!C473,'Step 4 Stage Discharge'!E$26:E$126,1)+1,9)-INDEX('Step 4 Stage Discharge'!E$26:M$126,MATCH('Step 6 Quality Check'!C473,'Step 4 Stage Discharge'!E$26:E$126,1),9))*('Step 6 Quality Check'!C473-INDEX('Step 4 Stage Discharge'!E$26:M$126,MATCH('Step 6 Quality Check'!C473,'Step 4 Stage Discharge'!E$26:E$126,1),1))/(INDEX('Step 4 Stage Discharge'!E$26:M$126,MATCH('Step 6 Quality Check'!C473,'Step 4 Stage Discharge'!E$26:E$126,1)+1,1)-INDEX('Step 4 Stage Discharge'!E$26:M$126,MATCH('Step 6 Quality Check'!C473,'Step 4 Stage Discharge'!E$26:E$126,1),1))</f>
        <v>4.3639431710317386E-3</v>
      </c>
      <c r="F473" s="218">
        <f t="shared" si="35"/>
        <v>0</v>
      </c>
      <c r="G473" s="218">
        <f t="shared" si="36"/>
        <v>0</v>
      </c>
    </row>
    <row r="474" spans="1:7">
      <c r="A474" s="217">
        <f t="shared" si="37"/>
        <v>2290</v>
      </c>
      <c r="B474" s="216">
        <f t="shared" si="38"/>
        <v>99.1</v>
      </c>
      <c r="C474" s="218">
        <f t="shared" si="39"/>
        <v>0</v>
      </c>
      <c r="D474" s="219">
        <f>INDEX('Step 4 Stage Discharge'!E$26:F$126,MATCH(C474,'Step 4 Stage Discharge'!E$26:E$126,1),2)+(INDEX('Step 4 Stage Discharge'!E$26:F$126,MATCH(C474,'Step 4 Stage Discharge'!E$26:E$126,1)+1,2)-INDEX('Step 4 Stage Discharge'!E$26:F$126,MATCH(C474,'Step 4 Stage Discharge'!E$26:E$126,1),2))*(C474-INDEX('Step 4 Stage Discharge'!E$26:F$126,MATCH(C474,'Step 4 Stage Discharge'!E$26:E$126,1),1))/(INDEX('Step 4 Stage Discharge'!E$26:F$126,MATCH(C474,'Step 4 Stage Discharge'!E$26:E$126,1)+1,1)-INDEX('Step 4 Stage Discharge'!E$26:F$126,MATCH(C474,'Step 4 Stage Discharge'!E$26:E$126,1),1))</f>
        <v>0</v>
      </c>
      <c r="E474" s="219">
        <f>INDEX('Step 4 Stage Discharge'!E$26:M$126,MATCH(C474,'Step 4 Stage Discharge'!E$26:E$126,1),9)+(INDEX('Step 4 Stage Discharge'!E$26:M$126,MATCH('Step 6 Quality Check'!C474,'Step 4 Stage Discharge'!E$26:E$126,1)+1,9)-INDEX('Step 4 Stage Discharge'!E$26:M$126,MATCH('Step 6 Quality Check'!C474,'Step 4 Stage Discharge'!E$26:E$126,1),9))*('Step 6 Quality Check'!C474-INDEX('Step 4 Stage Discharge'!E$26:M$126,MATCH('Step 6 Quality Check'!C474,'Step 4 Stage Discharge'!E$26:E$126,1),1))/(INDEX('Step 4 Stage Discharge'!E$26:M$126,MATCH('Step 6 Quality Check'!C474,'Step 4 Stage Discharge'!E$26:E$126,1)+1,1)-INDEX('Step 4 Stage Discharge'!E$26:M$126,MATCH('Step 6 Quality Check'!C474,'Step 4 Stage Discharge'!E$26:E$126,1),1))</f>
        <v>4.3639431710317386E-3</v>
      </c>
      <c r="F474" s="218">
        <f t="shared" si="35"/>
        <v>0</v>
      </c>
      <c r="G474" s="218">
        <f t="shared" si="36"/>
        <v>0</v>
      </c>
    </row>
    <row r="475" spans="1:7">
      <c r="A475" s="217">
        <f t="shared" si="37"/>
        <v>2295</v>
      </c>
      <c r="B475" s="216">
        <f t="shared" si="38"/>
        <v>99.1</v>
      </c>
      <c r="C475" s="218">
        <f t="shared" si="39"/>
        <v>0</v>
      </c>
      <c r="D475" s="219">
        <f>INDEX('Step 4 Stage Discharge'!E$26:F$126,MATCH(C475,'Step 4 Stage Discharge'!E$26:E$126,1),2)+(INDEX('Step 4 Stage Discharge'!E$26:F$126,MATCH(C475,'Step 4 Stage Discharge'!E$26:E$126,1)+1,2)-INDEX('Step 4 Stage Discharge'!E$26:F$126,MATCH(C475,'Step 4 Stage Discharge'!E$26:E$126,1),2))*(C475-INDEX('Step 4 Stage Discharge'!E$26:F$126,MATCH(C475,'Step 4 Stage Discharge'!E$26:E$126,1),1))/(INDEX('Step 4 Stage Discharge'!E$26:F$126,MATCH(C475,'Step 4 Stage Discharge'!E$26:E$126,1)+1,1)-INDEX('Step 4 Stage Discharge'!E$26:F$126,MATCH(C475,'Step 4 Stage Discharge'!E$26:E$126,1),1))</f>
        <v>0</v>
      </c>
      <c r="E475" s="219">
        <f>INDEX('Step 4 Stage Discharge'!E$26:M$126,MATCH(C475,'Step 4 Stage Discharge'!E$26:E$126,1),9)+(INDEX('Step 4 Stage Discharge'!E$26:M$126,MATCH('Step 6 Quality Check'!C475,'Step 4 Stage Discharge'!E$26:E$126,1)+1,9)-INDEX('Step 4 Stage Discharge'!E$26:M$126,MATCH('Step 6 Quality Check'!C475,'Step 4 Stage Discharge'!E$26:E$126,1),9))*('Step 6 Quality Check'!C475-INDEX('Step 4 Stage Discharge'!E$26:M$126,MATCH('Step 6 Quality Check'!C475,'Step 4 Stage Discharge'!E$26:E$126,1),1))/(INDEX('Step 4 Stage Discharge'!E$26:M$126,MATCH('Step 6 Quality Check'!C475,'Step 4 Stage Discharge'!E$26:E$126,1)+1,1)-INDEX('Step 4 Stage Discharge'!E$26:M$126,MATCH('Step 6 Quality Check'!C475,'Step 4 Stage Discharge'!E$26:E$126,1),1))</f>
        <v>4.3639431710317386E-3</v>
      </c>
      <c r="F475" s="218">
        <f t="shared" si="35"/>
        <v>0</v>
      </c>
      <c r="G475" s="218">
        <f t="shared" si="36"/>
        <v>0</v>
      </c>
    </row>
    <row r="476" spans="1:7">
      <c r="A476" s="217">
        <f t="shared" si="37"/>
        <v>2300</v>
      </c>
      <c r="B476" s="216">
        <f t="shared" si="38"/>
        <v>99.1</v>
      </c>
      <c r="C476" s="218">
        <f t="shared" si="39"/>
        <v>0</v>
      </c>
      <c r="D476" s="219">
        <f>INDEX('Step 4 Stage Discharge'!E$26:F$126,MATCH(C476,'Step 4 Stage Discharge'!E$26:E$126,1),2)+(INDEX('Step 4 Stage Discharge'!E$26:F$126,MATCH(C476,'Step 4 Stage Discharge'!E$26:E$126,1)+1,2)-INDEX('Step 4 Stage Discharge'!E$26:F$126,MATCH(C476,'Step 4 Stage Discharge'!E$26:E$126,1),2))*(C476-INDEX('Step 4 Stage Discharge'!E$26:F$126,MATCH(C476,'Step 4 Stage Discharge'!E$26:E$126,1),1))/(INDEX('Step 4 Stage Discharge'!E$26:F$126,MATCH(C476,'Step 4 Stage Discharge'!E$26:E$126,1)+1,1)-INDEX('Step 4 Stage Discharge'!E$26:F$126,MATCH(C476,'Step 4 Stage Discharge'!E$26:E$126,1),1))</f>
        <v>0</v>
      </c>
      <c r="E476" s="219">
        <f>INDEX('Step 4 Stage Discharge'!E$26:M$126,MATCH(C476,'Step 4 Stage Discharge'!E$26:E$126,1),9)+(INDEX('Step 4 Stage Discharge'!E$26:M$126,MATCH('Step 6 Quality Check'!C476,'Step 4 Stage Discharge'!E$26:E$126,1)+1,9)-INDEX('Step 4 Stage Discharge'!E$26:M$126,MATCH('Step 6 Quality Check'!C476,'Step 4 Stage Discharge'!E$26:E$126,1),9))*('Step 6 Quality Check'!C476-INDEX('Step 4 Stage Discharge'!E$26:M$126,MATCH('Step 6 Quality Check'!C476,'Step 4 Stage Discharge'!E$26:E$126,1),1))/(INDEX('Step 4 Stage Discharge'!E$26:M$126,MATCH('Step 6 Quality Check'!C476,'Step 4 Stage Discharge'!E$26:E$126,1)+1,1)-INDEX('Step 4 Stage Discharge'!E$26:M$126,MATCH('Step 6 Quality Check'!C476,'Step 4 Stage Discharge'!E$26:E$126,1),1))</f>
        <v>4.3639431710317386E-3</v>
      </c>
      <c r="F476" s="218">
        <f t="shared" si="35"/>
        <v>0</v>
      </c>
      <c r="G476" s="218">
        <f t="shared" si="36"/>
        <v>0</v>
      </c>
    </row>
    <row r="477" spans="1:7">
      <c r="A477" s="217">
        <f t="shared" si="37"/>
        <v>2305</v>
      </c>
      <c r="B477" s="216">
        <f t="shared" si="38"/>
        <v>99.1</v>
      </c>
      <c r="C477" s="218">
        <f t="shared" si="39"/>
        <v>0</v>
      </c>
      <c r="D477" s="219">
        <f>INDEX('Step 4 Stage Discharge'!E$26:F$126,MATCH(C477,'Step 4 Stage Discharge'!E$26:E$126,1),2)+(INDEX('Step 4 Stage Discharge'!E$26:F$126,MATCH(C477,'Step 4 Stage Discharge'!E$26:E$126,1)+1,2)-INDEX('Step 4 Stage Discharge'!E$26:F$126,MATCH(C477,'Step 4 Stage Discharge'!E$26:E$126,1),2))*(C477-INDEX('Step 4 Stage Discharge'!E$26:F$126,MATCH(C477,'Step 4 Stage Discharge'!E$26:E$126,1),1))/(INDEX('Step 4 Stage Discharge'!E$26:F$126,MATCH(C477,'Step 4 Stage Discharge'!E$26:E$126,1)+1,1)-INDEX('Step 4 Stage Discharge'!E$26:F$126,MATCH(C477,'Step 4 Stage Discharge'!E$26:E$126,1),1))</f>
        <v>0</v>
      </c>
      <c r="E477" s="219">
        <f>INDEX('Step 4 Stage Discharge'!E$26:M$126,MATCH(C477,'Step 4 Stage Discharge'!E$26:E$126,1),9)+(INDEX('Step 4 Stage Discharge'!E$26:M$126,MATCH('Step 6 Quality Check'!C477,'Step 4 Stage Discharge'!E$26:E$126,1)+1,9)-INDEX('Step 4 Stage Discharge'!E$26:M$126,MATCH('Step 6 Quality Check'!C477,'Step 4 Stage Discharge'!E$26:E$126,1),9))*('Step 6 Quality Check'!C477-INDEX('Step 4 Stage Discharge'!E$26:M$126,MATCH('Step 6 Quality Check'!C477,'Step 4 Stage Discharge'!E$26:E$126,1),1))/(INDEX('Step 4 Stage Discharge'!E$26:M$126,MATCH('Step 6 Quality Check'!C477,'Step 4 Stage Discharge'!E$26:E$126,1)+1,1)-INDEX('Step 4 Stage Discharge'!E$26:M$126,MATCH('Step 6 Quality Check'!C477,'Step 4 Stage Discharge'!E$26:E$126,1),1))</f>
        <v>4.3639431710317386E-3</v>
      </c>
      <c r="F477" s="218">
        <f t="shared" si="35"/>
        <v>0</v>
      </c>
      <c r="G477" s="218">
        <f t="shared" si="36"/>
        <v>0</v>
      </c>
    </row>
    <row r="478" spans="1:7">
      <c r="A478" s="217">
        <f t="shared" si="37"/>
        <v>2310</v>
      </c>
      <c r="B478" s="216">
        <f t="shared" si="38"/>
        <v>99.1</v>
      </c>
      <c r="C478" s="218">
        <f t="shared" si="39"/>
        <v>0</v>
      </c>
      <c r="D478" s="219">
        <f>INDEX('Step 4 Stage Discharge'!E$26:F$126,MATCH(C478,'Step 4 Stage Discharge'!E$26:E$126,1),2)+(INDEX('Step 4 Stage Discharge'!E$26:F$126,MATCH(C478,'Step 4 Stage Discharge'!E$26:E$126,1)+1,2)-INDEX('Step 4 Stage Discharge'!E$26:F$126,MATCH(C478,'Step 4 Stage Discharge'!E$26:E$126,1),2))*(C478-INDEX('Step 4 Stage Discharge'!E$26:F$126,MATCH(C478,'Step 4 Stage Discharge'!E$26:E$126,1),1))/(INDEX('Step 4 Stage Discharge'!E$26:F$126,MATCH(C478,'Step 4 Stage Discharge'!E$26:E$126,1)+1,1)-INDEX('Step 4 Stage Discharge'!E$26:F$126,MATCH(C478,'Step 4 Stage Discharge'!E$26:E$126,1),1))</f>
        <v>0</v>
      </c>
      <c r="E478" s="219">
        <f>INDEX('Step 4 Stage Discharge'!E$26:M$126,MATCH(C478,'Step 4 Stage Discharge'!E$26:E$126,1),9)+(INDEX('Step 4 Stage Discharge'!E$26:M$126,MATCH('Step 6 Quality Check'!C478,'Step 4 Stage Discharge'!E$26:E$126,1)+1,9)-INDEX('Step 4 Stage Discharge'!E$26:M$126,MATCH('Step 6 Quality Check'!C478,'Step 4 Stage Discharge'!E$26:E$126,1),9))*('Step 6 Quality Check'!C478-INDEX('Step 4 Stage Discharge'!E$26:M$126,MATCH('Step 6 Quality Check'!C478,'Step 4 Stage Discharge'!E$26:E$126,1),1))/(INDEX('Step 4 Stage Discharge'!E$26:M$126,MATCH('Step 6 Quality Check'!C478,'Step 4 Stage Discharge'!E$26:E$126,1)+1,1)-INDEX('Step 4 Stage Discharge'!E$26:M$126,MATCH('Step 6 Quality Check'!C478,'Step 4 Stage Discharge'!E$26:E$126,1),1))</f>
        <v>4.3639431710317386E-3</v>
      </c>
      <c r="F478" s="218">
        <f t="shared" si="35"/>
        <v>0</v>
      </c>
      <c r="G478" s="218">
        <f t="shared" si="36"/>
        <v>0</v>
      </c>
    </row>
    <row r="479" spans="1:7">
      <c r="A479" s="217">
        <f t="shared" si="37"/>
        <v>2315</v>
      </c>
      <c r="B479" s="216">
        <f t="shared" si="38"/>
        <v>99.1</v>
      </c>
      <c r="C479" s="218">
        <f t="shared" si="39"/>
        <v>0</v>
      </c>
      <c r="D479" s="219">
        <f>INDEX('Step 4 Stage Discharge'!E$26:F$126,MATCH(C479,'Step 4 Stage Discharge'!E$26:E$126,1),2)+(INDEX('Step 4 Stage Discharge'!E$26:F$126,MATCH(C479,'Step 4 Stage Discharge'!E$26:E$126,1)+1,2)-INDEX('Step 4 Stage Discharge'!E$26:F$126,MATCH(C479,'Step 4 Stage Discharge'!E$26:E$126,1),2))*(C479-INDEX('Step 4 Stage Discharge'!E$26:F$126,MATCH(C479,'Step 4 Stage Discharge'!E$26:E$126,1),1))/(INDEX('Step 4 Stage Discharge'!E$26:F$126,MATCH(C479,'Step 4 Stage Discharge'!E$26:E$126,1)+1,1)-INDEX('Step 4 Stage Discharge'!E$26:F$126,MATCH(C479,'Step 4 Stage Discharge'!E$26:E$126,1),1))</f>
        <v>0</v>
      </c>
      <c r="E479" s="219">
        <f>INDEX('Step 4 Stage Discharge'!E$26:M$126,MATCH(C479,'Step 4 Stage Discharge'!E$26:E$126,1),9)+(INDEX('Step 4 Stage Discharge'!E$26:M$126,MATCH('Step 6 Quality Check'!C479,'Step 4 Stage Discharge'!E$26:E$126,1)+1,9)-INDEX('Step 4 Stage Discharge'!E$26:M$126,MATCH('Step 6 Quality Check'!C479,'Step 4 Stage Discharge'!E$26:E$126,1),9))*('Step 6 Quality Check'!C479-INDEX('Step 4 Stage Discharge'!E$26:M$126,MATCH('Step 6 Quality Check'!C479,'Step 4 Stage Discharge'!E$26:E$126,1),1))/(INDEX('Step 4 Stage Discharge'!E$26:M$126,MATCH('Step 6 Quality Check'!C479,'Step 4 Stage Discharge'!E$26:E$126,1)+1,1)-INDEX('Step 4 Stage Discharge'!E$26:M$126,MATCH('Step 6 Quality Check'!C479,'Step 4 Stage Discharge'!E$26:E$126,1),1))</f>
        <v>4.3639431710317386E-3</v>
      </c>
      <c r="F479" s="218">
        <f t="shared" si="35"/>
        <v>0</v>
      </c>
      <c r="G479" s="218">
        <f t="shared" si="36"/>
        <v>0</v>
      </c>
    </row>
    <row r="480" spans="1:7">
      <c r="A480" s="217">
        <f t="shared" si="37"/>
        <v>2320</v>
      </c>
      <c r="B480" s="216">
        <f t="shared" si="38"/>
        <v>99.1</v>
      </c>
      <c r="C480" s="218">
        <f t="shared" si="39"/>
        <v>0</v>
      </c>
      <c r="D480" s="219">
        <f>INDEX('Step 4 Stage Discharge'!E$26:F$126,MATCH(C480,'Step 4 Stage Discharge'!E$26:E$126,1),2)+(INDEX('Step 4 Stage Discharge'!E$26:F$126,MATCH(C480,'Step 4 Stage Discharge'!E$26:E$126,1)+1,2)-INDEX('Step 4 Stage Discharge'!E$26:F$126,MATCH(C480,'Step 4 Stage Discharge'!E$26:E$126,1),2))*(C480-INDEX('Step 4 Stage Discharge'!E$26:F$126,MATCH(C480,'Step 4 Stage Discharge'!E$26:E$126,1),1))/(INDEX('Step 4 Stage Discharge'!E$26:F$126,MATCH(C480,'Step 4 Stage Discharge'!E$26:E$126,1)+1,1)-INDEX('Step 4 Stage Discharge'!E$26:F$126,MATCH(C480,'Step 4 Stage Discharge'!E$26:E$126,1),1))</f>
        <v>0</v>
      </c>
      <c r="E480" s="219">
        <f>INDEX('Step 4 Stage Discharge'!E$26:M$126,MATCH(C480,'Step 4 Stage Discharge'!E$26:E$126,1),9)+(INDEX('Step 4 Stage Discharge'!E$26:M$126,MATCH('Step 6 Quality Check'!C480,'Step 4 Stage Discharge'!E$26:E$126,1)+1,9)-INDEX('Step 4 Stage Discharge'!E$26:M$126,MATCH('Step 6 Quality Check'!C480,'Step 4 Stage Discharge'!E$26:E$126,1),9))*('Step 6 Quality Check'!C480-INDEX('Step 4 Stage Discharge'!E$26:M$126,MATCH('Step 6 Quality Check'!C480,'Step 4 Stage Discharge'!E$26:E$126,1),1))/(INDEX('Step 4 Stage Discharge'!E$26:M$126,MATCH('Step 6 Quality Check'!C480,'Step 4 Stage Discharge'!E$26:E$126,1)+1,1)-INDEX('Step 4 Stage Discharge'!E$26:M$126,MATCH('Step 6 Quality Check'!C480,'Step 4 Stage Discharge'!E$26:E$126,1),1))</f>
        <v>4.3639431710317386E-3</v>
      </c>
      <c r="F480" s="218">
        <f t="shared" si="35"/>
        <v>0</v>
      </c>
      <c r="G480" s="218">
        <f t="shared" si="36"/>
        <v>0</v>
      </c>
    </row>
    <row r="481" spans="1:7">
      <c r="A481" s="217">
        <f t="shared" si="37"/>
        <v>2325</v>
      </c>
      <c r="B481" s="216">
        <f t="shared" si="38"/>
        <v>99.1</v>
      </c>
      <c r="C481" s="218">
        <f t="shared" si="39"/>
        <v>0</v>
      </c>
      <c r="D481" s="219">
        <f>INDEX('Step 4 Stage Discharge'!E$26:F$126,MATCH(C481,'Step 4 Stage Discharge'!E$26:E$126,1),2)+(INDEX('Step 4 Stage Discharge'!E$26:F$126,MATCH(C481,'Step 4 Stage Discharge'!E$26:E$126,1)+1,2)-INDEX('Step 4 Stage Discharge'!E$26:F$126,MATCH(C481,'Step 4 Stage Discharge'!E$26:E$126,1),2))*(C481-INDEX('Step 4 Stage Discharge'!E$26:F$126,MATCH(C481,'Step 4 Stage Discharge'!E$26:E$126,1),1))/(INDEX('Step 4 Stage Discharge'!E$26:F$126,MATCH(C481,'Step 4 Stage Discharge'!E$26:E$126,1)+1,1)-INDEX('Step 4 Stage Discharge'!E$26:F$126,MATCH(C481,'Step 4 Stage Discharge'!E$26:E$126,1),1))</f>
        <v>0</v>
      </c>
      <c r="E481" s="219">
        <f>INDEX('Step 4 Stage Discharge'!E$26:M$126,MATCH(C481,'Step 4 Stage Discharge'!E$26:E$126,1),9)+(INDEX('Step 4 Stage Discharge'!E$26:M$126,MATCH('Step 6 Quality Check'!C481,'Step 4 Stage Discharge'!E$26:E$126,1)+1,9)-INDEX('Step 4 Stage Discharge'!E$26:M$126,MATCH('Step 6 Quality Check'!C481,'Step 4 Stage Discharge'!E$26:E$126,1),9))*('Step 6 Quality Check'!C481-INDEX('Step 4 Stage Discharge'!E$26:M$126,MATCH('Step 6 Quality Check'!C481,'Step 4 Stage Discharge'!E$26:E$126,1),1))/(INDEX('Step 4 Stage Discharge'!E$26:M$126,MATCH('Step 6 Quality Check'!C481,'Step 4 Stage Discharge'!E$26:E$126,1)+1,1)-INDEX('Step 4 Stage Discharge'!E$26:M$126,MATCH('Step 6 Quality Check'!C481,'Step 4 Stage Discharge'!E$26:E$126,1),1))</f>
        <v>4.3639431710317386E-3</v>
      </c>
      <c r="F481" s="218">
        <f t="shared" si="35"/>
        <v>0</v>
      </c>
      <c r="G481" s="218">
        <f t="shared" si="36"/>
        <v>0</v>
      </c>
    </row>
    <row r="482" spans="1:7">
      <c r="A482" s="217">
        <f t="shared" si="37"/>
        <v>2330</v>
      </c>
      <c r="B482" s="216">
        <f t="shared" si="38"/>
        <v>99.1</v>
      </c>
      <c r="C482" s="218">
        <f t="shared" si="39"/>
        <v>0</v>
      </c>
      <c r="D482" s="219">
        <f>INDEX('Step 4 Stage Discharge'!E$26:F$126,MATCH(C482,'Step 4 Stage Discharge'!E$26:E$126,1),2)+(INDEX('Step 4 Stage Discharge'!E$26:F$126,MATCH(C482,'Step 4 Stage Discharge'!E$26:E$126,1)+1,2)-INDEX('Step 4 Stage Discharge'!E$26:F$126,MATCH(C482,'Step 4 Stage Discharge'!E$26:E$126,1),2))*(C482-INDEX('Step 4 Stage Discharge'!E$26:F$126,MATCH(C482,'Step 4 Stage Discharge'!E$26:E$126,1),1))/(INDEX('Step 4 Stage Discharge'!E$26:F$126,MATCH(C482,'Step 4 Stage Discharge'!E$26:E$126,1)+1,1)-INDEX('Step 4 Stage Discharge'!E$26:F$126,MATCH(C482,'Step 4 Stage Discharge'!E$26:E$126,1),1))</f>
        <v>0</v>
      </c>
      <c r="E482" s="219">
        <f>INDEX('Step 4 Stage Discharge'!E$26:M$126,MATCH(C482,'Step 4 Stage Discharge'!E$26:E$126,1),9)+(INDEX('Step 4 Stage Discharge'!E$26:M$126,MATCH('Step 6 Quality Check'!C482,'Step 4 Stage Discharge'!E$26:E$126,1)+1,9)-INDEX('Step 4 Stage Discharge'!E$26:M$126,MATCH('Step 6 Quality Check'!C482,'Step 4 Stage Discharge'!E$26:E$126,1),9))*('Step 6 Quality Check'!C482-INDEX('Step 4 Stage Discharge'!E$26:M$126,MATCH('Step 6 Quality Check'!C482,'Step 4 Stage Discharge'!E$26:E$126,1),1))/(INDEX('Step 4 Stage Discharge'!E$26:M$126,MATCH('Step 6 Quality Check'!C482,'Step 4 Stage Discharge'!E$26:E$126,1)+1,1)-INDEX('Step 4 Stage Discharge'!E$26:M$126,MATCH('Step 6 Quality Check'!C482,'Step 4 Stage Discharge'!E$26:E$126,1),1))</f>
        <v>4.3639431710317386E-3</v>
      </c>
      <c r="F482" s="218">
        <f t="shared" si="35"/>
        <v>0</v>
      </c>
      <c r="G482" s="218">
        <f t="shared" si="36"/>
        <v>0</v>
      </c>
    </row>
    <row r="483" spans="1:7">
      <c r="A483" s="217">
        <f t="shared" si="37"/>
        <v>2335</v>
      </c>
      <c r="B483" s="216">
        <f t="shared" si="38"/>
        <v>99.1</v>
      </c>
      <c r="C483" s="218">
        <f t="shared" si="39"/>
        <v>0</v>
      </c>
      <c r="D483" s="219">
        <f>INDEX('Step 4 Stage Discharge'!E$26:F$126,MATCH(C483,'Step 4 Stage Discharge'!E$26:E$126,1),2)+(INDEX('Step 4 Stage Discharge'!E$26:F$126,MATCH(C483,'Step 4 Stage Discharge'!E$26:E$126,1)+1,2)-INDEX('Step 4 Stage Discharge'!E$26:F$126,MATCH(C483,'Step 4 Stage Discharge'!E$26:E$126,1),2))*(C483-INDEX('Step 4 Stage Discharge'!E$26:F$126,MATCH(C483,'Step 4 Stage Discharge'!E$26:E$126,1),1))/(INDEX('Step 4 Stage Discharge'!E$26:F$126,MATCH(C483,'Step 4 Stage Discharge'!E$26:E$126,1)+1,1)-INDEX('Step 4 Stage Discharge'!E$26:F$126,MATCH(C483,'Step 4 Stage Discharge'!E$26:E$126,1),1))</f>
        <v>0</v>
      </c>
      <c r="E483" s="219">
        <f>INDEX('Step 4 Stage Discharge'!E$26:M$126,MATCH(C483,'Step 4 Stage Discharge'!E$26:E$126,1),9)+(INDEX('Step 4 Stage Discharge'!E$26:M$126,MATCH('Step 6 Quality Check'!C483,'Step 4 Stage Discharge'!E$26:E$126,1)+1,9)-INDEX('Step 4 Stage Discharge'!E$26:M$126,MATCH('Step 6 Quality Check'!C483,'Step 4 Stage Discharge'!E$26:E$126,1),9))*('Step 6 Quality Check'!C483-INDEX('Step 4 Stage Discharge'!E$26:M$126,MATCH('Step 6 Quality Check'!C483,'Step 4 Stage Discharge'!E$26:E$126,1),1))/(INDEX('Step 4 Stage Discharge'!E$26:M$126,MATCH('Step 6 Quality Check'!C483,'Step 4 Stage Discharge'!E$26:E$126,1)+1,1)-INDEX('Step 4 Stage Discharge'!E$26:M$126,MATCH('Step 6 Quality Check'!C483,'Step 4 Stage Discharge'!E$26:E$126,1),1))</f>
        <v>4.3639431710317386E-3</v>
      </c>
      <c r="F483" s="218">
        <f t="shared" si="35"/>
        <v>0</v>
      </c>
      <c r="G483" s="218">
        <f t="shared" si="36"/>
        <v>0</v>
      </c>
    </row>
    <row r="484" spans="1:7">
      <c r="A484" s="217">
        <f t="shared" si="37"/>
        <v>2340</v>
      </c>
      <c r="B484" s="216">
        <f t="shared" si="38"/>
        <v>99.1</v>
      </c>
      <c r="C484" s="218">
        <f t="shared" si="39"/>
        <v>0</v>
      </c>
      <c r="D484" s="219">
        <f>INDEX('Step 4 Stage Discharge'!E$26:F$126,MATCH(C484,'Step 4 Stage Discharge'!E$26:E$126,1),2)+(INDEX('Step 4 Stage Discharge'!E$26:F$126,MATCH(C484,'Step 4 Stage Discharge'!E$26:E$126,1)+1,2)-INDEX('Step 4 Stage Discharge'!E$26:F$126,MATCH(C484,'Step 4 Stage Discharge'!E$26:E$126,1),2))*(C484-INDEX('Step 4 Stage Discharge'!E$26:F$126,MATCH(C484,'Step 4 Stage Discharge'!E$26:E$126,1),1))/(INDEX('Step 4 Stage Discharge'!E$26:F$126,MATCH(C484,'Step 4 Stage Discharge'!E$26:E$126,1)+1,1)-INDEX('Step 4 Stage Discharge'!E$26:F$126,MATCH(C484,'Step 4 Stage Discharge'!E$26:E$126,1),1))</f>
        <v>0</v>
      </c>
      <c r="E484" s="219">
        <f>INDEX('Step 4 Stage Discharge'!E$26:M$126,MATCH(C484,'Step 4 Stage Discharge'!E$26:E$126,1),9)+(INDEX('Step 4 Stage Discharge'!E$26:M$126,MATCH('Step 6 Quality Check'!C484,'Step 4 Stage Discharge'!E$26:E$126,1)+1,9)-INDEX('Step 4 Stage Discharge'!E$26:M$126,MATCH('Step 6 Quality Check'!C484,'Step 4 Stage Discharge'!E$26:E$126,1),9))*('Step 6 Quality Check'!C484-INDEX('Step 4 Stage Discharge'!E$26:M$126,MATCH('Step 6 Quality Check'!C484,'Step 4 Stage Discharge'!E$26:E$126,1),1))/(INDEX('Step 4 Stage Discharge'!E$26:M$126,MATCH('Step 6 Quality Check'!C484,'Step 4 Stage Discharge'!E$26:E$126,1)+1,1)-INDEX('Step 4 Stage Discharge'!E$26:M$126,MATCH('Step 6 Quality Check'!C484,'Step 4 Stage Discharge'!E$26:E$126,1),1))</f>
        <v>4.3639431710317386E-3</v>
      </c>
      <c r="F484" s="218">
        <f t="shared" si="35"/>
        <v>0</v>
      </c>
      <c r="G484" s="218">
        <f t="shared" si="36"/>
        <v>0</v>
      </c>
    </row>
    <row r="485" spans="1:7">
      <c r="A485" s="217">
        <f t="shared" si="37"/>
        <v>2345</v>
      </c>
      <c r="B485" s="216">
        <f t="shared" si="38"/>
        <v>99.1</v>
      </c>
      <c r="C485" s="218">
        <f t="shared" si="39"/>
        <v>0</v>
      </c>
      <c r="D485" s="219">
        <f>INDEX('Step 4 Stage Discharge'!E$26:F$126,MATCH(C485,'Step 4 Stage Discharge'!E$26:E$126,1),2)+(INDEX('Step 4 Stage Discharge'!E$26:F$126,MATCH(C485,'Step 4 Stage Discharge'!E$26:E$126,1)+1,2)-INDEX('Step 4 Stage Discharge'!E$26:F$126,MATCH(C485,'Step 4 Stage Discharge'!E$26:E$126,1),2))*(C485-INDEX('Step 4 Stage Discharge'!E$26:F$126,MATCH(C485,'Step 4 Stage Discharge'!E$26:E$126,1),1))/(INDEX('Step 4 Stage Discharge'!E$26:F$126,MATCH(C485,'Step 4 Stage Discharge'!E$26:E$126,1)+1,1)-INDEX('Step 4 Stage Discharge'!E$26:F$126,MATCH(C485,'Step 4 Stage Discharge'!E$26:E$126,1),1))</f>
        <v>0</v>
      </c>
      <c r="E485" s="219">
        <f>INDEX('Step 4 Stage Discharge'!E$26:M$126,MATCH(C485,'Step 4 Stage Discharge'!E$26:E$126,1),9)+(INDEX('Step 4 Stage Discharge'!E$26:M$126,MATCH('Step 6 Quality Check'!C485,'Step 4 Stage Discharge'!E$26:E$126,1)+1,9)-INDEX('Step 4 Stage Discharge'!E$26:M$126,MATCH('Step 6 Quality Check'!C485,'Step 4 Stage Discharge'!E$26:E$126,1),9))*('Step 6 Quality Check'!C485-INDEX('Step 4 Stage Discharge'!E$26:M$126,MATCH('Step 6 Quality Check'!C485,'Step 4 Stage Discharge'!E$26:E$126,1),1))/(INDEX('Step 4 Stage Discharge'!E$26:M$126,MATCH('Step 6 Quality Check'!C485,'Step 4 Stage Discharge'!E$26:E$126,1)+1,1)-INDEX('Step 4 Stage Discharge'!E$26:M$126,MATCH('Step 6 Quality Check'!C485,'Step 4 Stage Discharge'!E$26:E$126,1),1))</f>
        <v>4.3639431710317386E-3</v>
      </c>
      <c r="F485" s="218">
        <f t="shared" si="35"/>
        <v>0</v>
      </c>
      <c r="G485" s="218">
        <f t="shared" si="36"/>
        <v>0</v>
      </c>
    </row>
    <row r="486" spans="1:7">
      <c r="A486" s="217">
        <f t="shared" si="37"/>
        <v>2350</v>
      </c>
      <c r="B486" s="216">
        <f t="shared" si="38"/>
        <v>99.1</v>
      </c>
      <c r="C486" s="218">
        <f t="shared" si="39"/>
        <v>0</v>
      </c>
      <c r="D486" s="219">
        <f>INDEX('Step 4 Stage Discharge'!E$26:F$126,MATCH(C486,'Step 4 Stage Discharge'!E$26:E$126,1),2)+(INDEX('Step 4 Stage Discharge'!E$26:F$126,MATCH(C486,'Step 4 Stage Discharge'!E$26:E$126,1)+1,2)-INDEX('Step 4 Stage Discharge'!E$26:F$126,MATCH(C486,'Step 4 Stage Discharge'!E$26:E$126,1),2))*(C486-INDEX('Step 4 Stage Discharge'!E$26:F$126,MATCH(C486,'Step 4 Stage Discharge'!E$26:E$126,1),1))/(INDEX('Step 4 Stage Discharge'!E$26:F$126,MATCH(C486,'Step 4 Stage Discharge'!E$26:E$126,1)+1,1)-INDEX('Step 4 Stage Discharge'!E$26:F$126,MATCH(C486,'Step 4 Stage Discharge'!E$26:E$126,1),1))</f>
        <v>0</v>
      </c>
      <c r="E486" s="219">
        <f>INDEX('Step 4 Stage Discharge'!E$26:M$126,MATCH(C486,'Step 4 Stage Discharge'!E$26:E$126,1),9)+(INDEX('Step 4 Stage Discharge'!E$26:M$126,MATCH('Step 6 Quality Check'!C486,'Step 4 Stage Discharge'!E$26:E$126,1)+1,9)-INDEX('Step 4 Stage Discharge'!E$26:M$126,MATCH('Step 6 Quality Check'!C486,'Step 4 Stage Discharge'!E$26:E$126,1),9))*('Step 6 Quality Check'!C486-INDEX('Step 4 Stage Discharge'!E$26:M$126,MATCH('Step 6 Quality Check'!C486,'Step 4 Stage Discharge'!E$26:E$126,1),1))/(INDEX('Step 4 Stage Discharge'!E$26:M$126,MATCH('Step 6 Quality Check'!C486,'Step 4 Stage Discharge'!E$26:E$126,1)+1,1)-INDEX('Step 4 Stage Discharge'!E$26:M$126,MATCH('Step 6 Quality Check'!C486,'Step 4 Stage Discharge'!E$26:E$126,1),1))</f>
        <v>4.3639431710317386E-3</v>
      </c>
      <c r="F486" s="218">
        <f t="shared" si="35"/>
        <v>0</v>
      </c>
      <c r="G486" s="218">
        <f t="shared" si="36"/>
        <v>0</v>
      </c>
    </row>
    <row r="487" spans="1:7">
      <c r="A487" s="217">
        <f t="shared" si="37"/>
        <v>2355</v>
      </c>
      <c r="B487" s="216">
        <f t="shared" si="38"/>
        <v>99.1</v>
      </c>
      <c r="C487" s="218">
        <f t="shared" si="39"/>
        <v>0</v>
      </c>
      <c r="D487" s="219">
        <f>INDEX('Step 4 Stage Discharge'!E$26:F$126,MATCH(C487,'Step 4 Stage Discharge'!E$26:E$126,1),2)+(INDEX('Step 4 Stage Discharge'!E$26:F$126,MATCH(C487,'Step 4 Stage Discharge'!E$26:E$126,1)+1,2)-INDEX('Step 4 Stage Discharge'!E$26:F$126,MATCH(C487,'Step 4 Stage Discharge'!E$26:E$126,1),2))*(C487-INDEX('Step 4 Stage Discharge'!E$26:F$126,MATCH(C487,'Step 4 Stage Discharge'!E$26:E$126,1),1))/(INDEX('Step 4 Stage Discharge'!E$26:F$126,MATCH(C487,'Step 4 Stage Discharge'!E$26:E$126,1)+1,1)-INDEX('Step 4 Stage Discharge'!E$26:F$126,MATCH(C487,'Step 4 Stage Discharge'!E$26:E$126,1),1))</f>
        <v>0</v>
      </c>
      <c r="E487" s="219">
        <f>INDEX('Step 4 Stage Discharge'!E$26:M$126,MATCH(C487,'Step 4 Stage Discharge'!E$26:E$126,1),9)+(INDEX('Step 4 Stage Discharge'!E$26:M$126,MATCH('Step 6 Quality Check'!C487,'Step 4 Stage Discharge'!E$26:E$126,1)+1,9)-INDEX('Step 4 Stage Discharge'!E$26:M$126,MATCH('Step 6 Quality Check'!C487,'Step 4 Stage Discharge'!E$26:E$126,1),9))*('Step 6 Quality Check'!C487-INDEX('Step 4 Stage Discharge'!E$26:M$126,MATCH('Step 6 Quality Check'!C487,'Step 4 Stage Discharge'!E$26:E$126,1),1))/(INDEX('Step 4 Stage Discharge'!E$26:M$126,MATCH('Step 6 Quality Check'!C487,'Step 4 Stage Discharge'!E$26:E$126,1)+1,1)-INDEX('Step 4 Stage Discharge'!E$26:M$126,MATCH('Step 6 Quality Check'!C487,'Step 4 Stage Discharge'!E$26:E$126,1),1))</f>
        <v>4.3639431710317386E-3</v>
      </c>
      <c r="F487" s="218">
        <f t="shared" si="35"/>
        <v>0</v>
      </c>
      <c r="G487" s="218">
        <f t="shared" si="36"/>
        <v>0</v>
      </c>
    </row>
    <row r="488" spans="1:7">
      <c r="A488" s="217">
        <f t="shared" si="37"/>
        <v>2360</v>
      </c>
      <c r="B488" s="216">
        <f t="shared" si="38"/>
        <v>99.1</v>
      </c>
      <c r="C488" s="218">
        <f t="shared" si="39"/>
        <v>0</v>
      </c>
      <c r="D488" s="219">
        <f>INDEX('Step 4 Stage Discharge'!E$26:F$126,MATCH(C488,'Step 4 Stage Discharge'!E$26:E$126,1),2)+(INDEX('Step 4 Stage Discharge'!E$26:F$126,MATCH(C488,'Step 4 Stage Discharge'!E$26:E$126,1)+1,2)-INDEX('Step 4 Stage Discharge'!E$26:F$126,MATCH(C488,'Step 4 Stage Discharge'!E$26:E$126,1),2))*(C488-INDEX('Step 4 Stage Discharge'!E$26:F$126,MATCH(C488,'Step 4 Stage Discharge'!E$26:E$126,1),1))/(INDEX('Step 4 Stage Discharge'!E$26:F$126,MATCH(C488,'Step 4 Stage Discharge'!E$26:E$126,1)+1,1)-INDEX('Step 4 Stage Discharge'!E$26:F$126,MATCH(C488,'Step 4 Stage Discharge'!E$26:E$126,1),1))</f>
        <v>0</v>
      </c>
      <c r="E488" s="219">
        <f>INDEX('Step 4 Stage Discharge'!E$26:M$126,MATCH(C488,'Step 4 Stage Discharge'!E$26:E$126,1),9)+(INDEX('Step 4 Stage Discharge'!E$26:M$126,MATCH('Step 6 Quality Check'!C488,'Step 4 Stage Discharge'!E$26:E$126,1)+1,9)-INDEX('Step 4 Stage Discharge'!E$26:M$126,MATCH('Step 6 Quality Check'!C488,'Step 4 Stage Discharge'!E$26:E$126,1),9))*('Step 6 Quality Check'!C488-INDEX('Step 4 Stage Discharge'!E$26:M$126,MATCH('Step 6 Quality Check'!C488,'Step 4 Stage Discharge'!E$26:E$126,1),1))/(INDEX('Step 4 Stage Discharge'!E$26:M$126,MATCH('Step 6 Quality Check'!C488,'Step 4 Stage Discharge'!E$26:E$126,1)+1,1)-INDEX('Step 4 Stage Discharge'!E$26:M$126,MATCH('Step 6 Quality Check'!C488,'Step 4 Stage Discharge'!E$26:E$126,1),1))</f>
        <v>4.3639431710317386E-3</v>
      </c>
      <c r="F488" s="218">
        <f t="shared" si="35"/>
        <v>0</v>
      </c>
      <c r="G488" s="218">
        <f t="shared" si="36"/>
        <v>0</v>
      </c>
    </row>
    <row r="489" spans="1:7">
      <c r="A489" s="217">
        <f t="shared" si="37"/>
        <v>2365</v>
      </c>
      <c r="B489" s="216">
        <f t="shared" si="38"/>
        <v>99.1</v>
      </c>
      <c r="C489" s="218">
        <f t="shared" si="39"/>
        <v>0</v>
      </c>
      <c r="D489" s="219">
        <f>INDEX('Step 4 Stage Discharge'!E$26:F$126,MATCH(C489,'Step 4 Stage Discharge'!E$26:E$126,1),2)+(INDEX('Step 4 Stage Discharge'!E$26:F$126,MATCH(C489,'Step 4 Stage Discharge'!E$26:E$126,1)+1,2)-INDEX('Step 4 Stage Discharge'!E$26:F$126,MATCH(C489,'Step 4 Stage Discharge'!E$26:E$126,1),2))*(C489-INDEX('Step 4 Stage Discharge'!E$26:F$126,MATCH(C489,'Step 4 Stage Discharge'!E$26:E$126,1),1))/(INDEX('Step 4 Stage Discharge'!E$26:F$126,MATCH(C489,'Step 4 Stage Discharge'!E$26:E$126,1)+1,1)-INDEX('Step 4 Stage Discharge'!E$26:F$126,MATCH(C489,'Step 4 Stage Discharge'!E$26:E$126,1),1))</f>
        <v>0</v>
      </c>
      <c r="E489" s="219">
        <f>INDEX('Step 4 Stage Discharge'!E$26:M$126,MATCH(C489,'Step 4 Stage Discharge'!E$26:E$126,1),9)+(INDEX('Step 4 Stage Discharge'!E$26:M$126,MATCH('Step 6 Quality Check'!C489,'Step 4 Stage Discharge'!E$26:E$126,1)+1,9)-INDEX('Step 4 Stage Discharge'!E$26:M$126,MATCH('Step 6 Quality Check'!C489,'Step 4 Stage Discharge'!E$26:E$126,1),9))*('Step 6 Quality Check'!C489-INDEX('Step 4 Stage Discharge'!E$26:M$126,MATCH('Step 6 Quality Check'!C489,'Step 4 Stage Discharge'!E$26:E$126,1),1))/(INDEX('Step 4 Stage Discharge'!E$26:M$126,MATCH('Step 6 Quality Check'!C489,'Step 4 Stage Discharge'!E$26:E$126,1)+1,1)-INDEX('Step 4 Stage Discharge'!E$26:M$126,MATCH('Step 6 Quality Check'!C489,'Step 4 Stage Discharge'!E$26:E$126,1),1))</f>
        <v>4.3639431710317386E-3</v>
      </c>
      <c r="F489" s="218">
        <f t="shared" si="35"/>
        <v>0</v>
      </c>
      <c r="G489" s="218">
        <f t="shared" si="36"/>
        <v>0</v>
      </c>
    </row>
    <row r="490" spans="1:7">
      <c r="A490" s="217">
        <f t="shared" si="37"/>
        <v>2370</v>
      </c>
      <c r="B490" s="216">
        <f t="shared" si="38"/>
        <v>99.1</v>
      </c>
      <c r="C490" s="218">
        <f t="shared" si="39"/>
        <v>0</v>
      </c>
      <c r="D490" s="219">
        <f>INDEX('Step 4 Stage Discharge'!E$26:F$126,MATCH(C490,'Step 4 Stage Discharge'!E$26:E$126,1),2)+(INDEX('Step 4 Stage Discharge'!E$26:F$126,MATCH(C490,'Step 4 Stage Discharge'!E$26:E$126,1)+1,2)-INDEX('Step 4 Stage Discharge'!E$26:F$126,MATCH(C490,'Step 4 Stage Discharge'!E$26:E$126,1),2))*(C490-INDEX('Step 4 Stage Discharge'!E$26:F$126,MATCH(C490,'Step 4 Stage Discharge'!E$26:E$126,1),1))/(INDEX('Step 4 Stage Discharge'!E$26:F$126,MATCH(C490,'Step 4 Stage Discharge'!E$26:E$126,1)+1,1)-INDEX('Step 4 Stage Discharge'!E$26:F$126,MATCH(C490,'Step 4 Stage Discharge'!E$26:E$126,1),1))</f>
        <v>0</v>
      </c>
      <c r="E490" s="219">
        <f>INDEX('Step 4 Stage Discharge'!E$26:M$126,MATCH(C490,'Step 4 Stage Discharge'!E$26:E$126,1),9)+(INDEX('Step 4 Stage Discharge'!E$26:M$126,MATCH('Step 6 Quality Check'!C490,'Step 4 Stage Discharge'!E$26:E$126,1)+1,9)-INDEX('Step 4 Stage Discharge'!E$26:M$126,MATCH('Step 6 Quality Check'!C490,'Step 4 Stage Discharge'!E$26:E$126,1),9))*('Step 6 Quality Check'!C490-INDEX('Step 4 Stage Discharge'!E$26:M$126,MATCH('Step 6 Quality Check'!C490,'Step 4 Stage Discharge'!E$26:E$126,1),1))/(INDEX('Step 4 Stage Discharge'!E$26:M$126,MATCH('Step 6 Quality Check'!C490,'Step 4 Stage Discharge'!E$26:E$126,1)+1,1)-INDEX('Step 4 Stage Discharge'!E$26:M$126,MATCH('Step 6 Quality Check'!C490,'Step 4 Stage Discharge'!E$26:E$126,1),1))</f>
        <v>4.3639431710317386E-3</v>
      </c>
      <c r="F490" s="218">
        <f t="shared" si="35"/>
        <v>0</v>
      </c>
      <c r="G490" s="218">
        <f t="shared" si="36"/>
        <v>0</v>
      </c>
    </row>
    <row r="491" spans="1:7">
      <c r="A491" s="217">
        <f t="shared" si="37"/>
        <v>2375</v>
      </c>
      <c r="B491" s="216">
        <f t="shared" si="38"/>
        <v>99.1</v>
      </c>
      <c r="C491" s="218">
        <f t="shared" si="39"/>
        <v>0</v>
      </c>
      <c r="D491" s="219">
        <f>INDEX('Step 4 Stage Discharge'!E$26:F$126,MATCH(C491,'Step 4 Stage Discharge'!E$26:E$126,1),2)+(INDEX('Step 4 Stage Discharge'!E$26:F$126,MATCH(C491,'Step 4 Stage Discharge'!E$26:E$126,1)+1,2)-INDEX('Step 4 Stage Discharge'!E$26:F$126,MATCH(C491,'Step 4 Stage Discharge'!E$26:E$126,1),2))*(C491-INDEX('Step 4 Stage Discharge'!E$26:F$126,MATCH(C491,'Step 4 Stage Discharge'!E$26:E$126,1),1))/(INDEX('Step 4 Stage Discharge'!E$26:F$126,MATCH(C491,'Step 4 Stage Discharge'!E$26:E$126,1)+1,1)-INDEX('Step 4 Stage Discharge'!E$26:F$126,MATCH(C491,'Step 4 Stage Discharge'!E$26:E$126,1),1))</f>
        <v>0</v>
      </c>
      <c r="E491" s="219">
        <f>INDEX('Step 4 Stage Discharge'!E$26:M$126,MATCH(C491,'Step 4 Stage Discharge'!E$26:E$126,1),9)+(INDEX('Step 4 Stage Discharge'!E$26:M$126,MATCH('Step 6 Quality Check'!C491,'Step 4 Stage Discharge'!E$26:E$126,1)+1,9)-INDEX('Step 4 Stage Discharge'!E$26:M$126,MATCH('Step 6 Quality Check'!C491,'Step 4 Stage Discharge'!E$26:E$126,1),9))*('Step 6 Quality Check'!C491-INDEX('Step 4 Stage Discharge'!E$26:M$126,MATCH('Step 6 Quality Check'!C491,'Step 4 Stage Discharge'!E$26:E$126,1),1))/(INDEX('Step 4 Stage Discharge'!E$26:M$126,MATCH('Step 6 Quality Check'!C491,'Step 4 Stage Discharge'!E$26:E$126,1)+1,1)-INDEX('Step 4 Stage Discharge'!E$26:M$126,MATCH('Step 6 Quality Check'!C491,'Step 4 Stage Discharge'!E$26:E$126,1),1))</f>
        <v>4.3639431710317386E-3</v>
      </c>
      <c r="F491" s="218">
        <f t="shared" si="35"/>
        <v>0</v>
      </c>
      <c r="G491" s="218">
        <f t="shared" si="36"/>
        <v>0</v>
      </c>
    </row>
    <row r="492" spans="1:7">
      <c r="A492" s="217">
        <f t="shared" si="37"/>
        <v>2380</v>
      </c>
      <c r="B492" s="216">
        <f t="shared" si="38"/>
        <v>99.1</v>
      </c>
      <c r="C492" s="218">
        <f t="shared" si="39"/>
        <v>0</v>
      </c>
      <c r="D492" s="219">
        <f>INDEX('Step 4 Stage Discharge'!E$26:F$126,MATCH(C492,'Step 4 Stage Discharge'!E$26:E$126,1),2)+(INDEX('Step 4 Stage Discharge'!E$26:F$126,MATCH(C492,'Step 4 Stage Discharge'!E$26:E$126,1)+1,2)-INDEX('Step 4 Stage Discharge'!E$26:F$126,MATCH(C492,'Step 4 Stage Discharge'!E$26:E$126,1),2))*(C492-INDEX('Step 4 Stage Discharge'!E$26:F$126,MATCH(C492,'Step 4 Stage Discharge'!E$26:E$126,1),1))/(INDEX('Step 4 Stage Discharge'!E$26:F$126,MATCH(C492,'Step 4 Stage Discharge'!E$26:E$126,1)+1,1)-INDEX('Step 4 Stage Discharge'!E$26:F$126,MATCH(C492,'Step 4 Stage Discharge'!E$26:E$126,1),1))</f>
        <v>0</v>
      </c>
      <c r="E492" s="219">
        <f>INDEX('Step 4 Stage Discharge'!E$26:M$126,MATCH(C492,'Step 4 Stage Discharge'!E$26:E$126,1),9)+(INDEX('Step 4 Stage Discharge'!E$26:M$126,MATCH('Step 6 Quality Check'!C492,'Step 4 Stage Discharge'!E$26:E$126,1)+1,9)-INDEX('Step 4 Stage Discharge'!E$26:M$126,MATCH('Step 6 Quality Check'!C492,'Step 4 Stage Discharge'!E$26:E$126,1),9))*('Step 6 Quality Check'!C492-INDEX('Step 4 Stage Discharge'!E$26:M$126,MATCH('Step 6 Quality Check'!C492,'Step 4 Stage Discharge'!E$26:E$126,1),1))/(INDEX('Step 4 Stage Discharge'!E$26:M$126,MATCH('Step 6 Quality Check'!C492,'Step 4 Stage Discharge'!E$26:E$126,1)+1,1)-INDEX('Step 4 Stage Discharge'!E$26:M$126,MATCH('Step 6 Quality Check'!C492,'Step 4 Stage Discharge'!E$26:E$126,1),1))</f>
        <v>4.3639431710317386E-3</v>
      </c>
      <c r="F492" s="218">
        <f t="shared" si="35"/>
        <v>0</v>
      </c>
      <c r="G492" s="218">
        <f t="shared" si="36"/>
        <v>0</v>
      </c>
    </row>
    <row r="493" spans="1:7">
      <c r="A493" s="217">
        <f t="shared" si="37"/>
        <v>2385</v>
      </c>
      <c r="B493" s="216">
        <f t="shared" si="38"/>
        <v>99.1</v>
      </c>
      <c r="C493" s="218">
        <f t="shared" si="39"/>
        <v>0</v>
      </c>
      <c r="D493" s="219">
        <f>INDEX('Step 4 Stage Discharge'!E$26:F$126,MATCH(C493,'Step 4 Stage Discharge'!E$26:E$126,1),2)+(INDEX('Step 4 Stage Discharge'!E$26:F$126,MATCH(C493,'Step 4 Stage Discharge'!E$26:E$126,1)+1,2)-INDEX('Step 4 Stage Discharge'!E$26:F$126,MATCH(C493,'Step 4 Stage Discharge'!E$26:E$126,1),2))*(C493-INDEX('Step 4 Stage Discharge'!E$26:F$126,MATCH(C493,'Step 4 Stage Discharge'!E$26:E$126,1),1))/(INDEX('Step 4 Stage Discharge'!E$26:F$126,MATCH(C493,'Step 4 Stage Discharge'!E$26:E$126,1)+1,1)-INDEX('Step 4 Stage Discharge'!E$26:F$126,MATCH(C493,'Step 4 Stage Discharge'!E$26:E$126,1),1))</f>
        <v>0</v>
      </c>
      <c r="E493" s="219">
        <f>INDEX('Step 4 Stage Discharge'!E$26:M$126,MATCH(C493,'Step 4 Stage Discharge'!E$26:E$126,1),9)+(INDEX('Step 4 Stage Discharge'!E$26:M$126,MATCH('Step 6 Quality Check'!C493,'Step 4 Stage Discharge'!E$26:E$126,1)+1,9)-INDEX('Step 4 Stage Discharge'!E$26:M$126,MATCH('Step 6 Quality Check'!C493,'Step 4 Stage Discharge'!E$26:E$126,1),9))*('Step 6 Quality Check'!C493-INDEX('Step 4 Stage Discharge'!E$26:M$126,MATCH('Step 6 Quality Check'!C493,'Step 4 Stage Discharge'!E$26:E$126,1),1))/(INDEX('Step 4 Stage Discharge'!E$26:M$126,MATCH('Step 6 Quality Check'!C493,'Step 4 Stage Discharge'!E$26:E$126,1)+1,1)-INDEX('Step 4 Stage Discharge'!E$26:M$126,MATCH('Step 6 Quality Check'!C493,'Step 4 Stage Discharge'!E$26:E$126,1),1))</f>
        <v>4.3639431710317386E-3</v>
      </c>
      <c r="F493" s="218">
        <f t="shared" si="35"/>
        <v>0</v>
      </c>
      <c r="G493" s="218">
        <f t="shared" si="36"/>
        <v>0</v>
      </c>
    </row>
    <row r="494" spans="1:7">
      <c r="A494" s="217">
        <f t="shared" si="37"/>
        <v>2390</v>
      </c>
      <c r="B494" s="216">
        <f t="shared" si="38"/>
        <v>99.1</v>
      </c>
      <c r="C494" s="218">
        <f t="shared" si="39"/>
        <v>0</v>
      </c>
      <c r="D494" s="219">
        <f>INDEX('Step 4 Stage Discharge'!E$26:F$126,MATCH(C494,'Step 4 Stage Discharge'!E$26:E$126,1),2)+(INDEX('Step 4 Stage Discharge'!E$26:F$126,MATCH(C494,'Step 4 Stage Discharge'!E$26:E$126,1)+1,2)-INDEX('Step 4 Stage Discharge'!E$26:F$126,MATCH(C494,'Step 4 Stage Discharge'!E$26:E$126,1),2))*(C494-INDEX('Step 4 Stage Discharge'!E$26:F$126,MATCH(C494,'Step 4 Stage Discharge'!E$26:E$126,1),1))/(INDEX('Step 4 Stage Discharge'!E$26:F$126,MATCH(C494,'Step 4 Stage Discharge'!E$26:E$126,1)+1,1)-INDEX('Step 4 Stage Discharge'!E$26:F$126,MATCH(C494,'Step 4 Stage Discharge'!E$26:E$126,1),1))</f>
        <v>0</v>
      </c>
      <c r="E494" s="219">
        <f>INDEX('Step 4 Stage Discharge'!E$26:M$126,MATCH(C494,'Step 4 Stage Discharge'!E$26:E$126,1),9)+(INDEX('Step 4 Stage Discharge'!E$26:M$126,MATCH('Step 6 Quality Check'!C494,'Step 4 Stage Discharge'!E$26:E$126,1)+1,9)-INDEX('Step 4 Stage Discharge'!E$26:M$126,MATCH('Step 6 Quality Check'!C494,'Step 4 Stage Discharge'!E$26:E$126,1),9))*('Step 6 Quality Check'!C494-INDEX('Step 4 Stage Discharge'!E$26:M$126,MATCH('Step 6 Quality Check'!C494,'Step 4 Stage Discharge'!E$26:E$126,1),1))/(INDEX('Step 4 Stage Discharge'!E$26:M$126,MATCH('Step 6 Quality Check'!C494,'Step 4 Stage Discharge'!E$26:E$126,1)+1,1)-INDEX('Step 4 Stage Discharge'!E$26:M$126,MATCH('Step 6 Quality Check'!C494,'Step 4 Stage Discharge'!E$26:E$126,1),1))</f>
        <v>4.3639431710317386E-3</v>
      </c>
      <c r="F494" s="218">
        <f t="shared" si="35"/>
        <v>0</v>
      </c>
      <c r="G494" s="218">
        <f t="shared" si="36"/>
        <v>0</v>
      </c>
    </row>
    <row r="495" spans="1:7">
      <c r="A495" s="217">
        <f t="shared" si="37"/>
        <v>2395</v>
      </c>
      <c r="B495" s="216">
        <f t="shared" si="38"/>
        <v>99.1</v>
      </c>
      <c r="C495" s="218">
        <f t="shared" si="39"/>
        <v>0</v>
      </c>
      <c r="D495" s="219">
        <f>INDEX('Step 4 Stage Discharge'!E$26:F$126,MATCH(C495,'Step 4 Stage Discharge'!E$26:E$126,1),2)+(INDEX('Step 4 Stage Discharge'!E$26:F$126,MATCH(C495,'Step 4 Stage Discharge'!E$26:E$126,1)+1,2)-INDEX('Step 4 Stage Discharge'!E$26:F$126,MATCH(C495,'Step 4 Stage Discharge'!E$26:E$126,1),2))*(C495-INDEX('Step 4 Stage Discharge'!E$26:F$126,MATCH(C495,'Step 4 Stage Discharge'!E$26:E$126,1),1))/(INDEX('Step 4 Stage Discharge'!E$26:F$126,MATCH(C495,'Step 4 Stage Discharge'!E$26:E$126,1)+1,1)-INDEX('Step 4 Stage Discharge'!E$26:F$126,MATCH(C495,'Step 4 Stage Discharge'!E$26:E$126,1),1))</f>
        <v>0</v>
      </c>
      <c r="E495" s="219">
        <f>INDEX('Step 4 Stage Discharge'!E$26:M$126,MATCH(C495,'Step 4 Stage Discharge'!E$26:E$126,1),9)+(INDEX('Step 4 Stage Discharge'!E$26:M$126,MATCH('Step 6 Quality Check'!C495,'Step 4 Stage Discharge'!E$26:E$126,1)+1,9)-INDEX('Step 4 Stage Discharge'!E$26:M$126,MATCH('Step 6 Quality Check'!C495,'Step 4 Stage Discharge'!E$26:E$126,1),9))*('Step 6 Quality Check'!C495-INDEX('Step 4 Stage Discharge'!E$26:M$126,MATCH('Step 6 Quality Check'!C495,'Step 4 Stage Discharge'!E$26:E$126,1),1))/(INDEX('Step 4 Stage Discharge'!E$26:M$126,MATCH('Step 6 Quality Check'!C495,'Step 4 Stage Discharge'!E$26:E$126,1)+1,1)-INDEX('Step 4 Stage Discharge'!E$26:M$126,MATCH('Step 6 Quality Check'!C495,'Step 4 Stage Discharge'!E$26:E$126,1),1))</f>
        <v>4.3639431710317386E-3</v>
      </c>
      <c r="F495" s="218">
        <f t="shared" si="35"/>
        <v>0</v>
      </c>
      <c r="G495" s="218">
        <f t="shared" si="36"/>
        <v>0</v>
      </c>
    </row>
    <row r="496" spans="1:7">
      <c r="A496" s="217">
        <f t="shared" si="37"/>
        <v>2400</v>
      </c>
      <c r="B496" s="216">
        <f t="shared" si="38"/>
        <v>99.1</v>
      </c>
      <c r="C496" s="218">
        <f t="shared" si="39"/>
        <v>0</v>
      </c>
      <c r="D496" s="219">
        <f>INDEX('Step 4 Stage Discharge'!E$26:F$126,MATCH(C496,'Step 4 Stage Discharge'!E$26:E$126,1),2)+(INDEX('Step 4 Stage Discharge'!E$26:F$126,MATCH(C496,'Step 4 Stage Discharge'!E$26:E$126,1)+1,2)-INDEX('Step 4 Stage Discharge'!E$26:F$126,MATCH(C496,'Step 4 Stage Discharge'!E$26:E$126,1),2))*(C496-INDEX('Step 4 Stage Discharge'!E$26:F$126,MATCH(C496,'Step 4 Stage Discharge'!E$26:E$126,1),1))/(INDEX('Step 4 Stage Discharge'!E$26:F$126,MATCH(C496,'Step 4 Stage Discharge'!E$26:E$126,1)+1,1)-INDEX('Step 4 Stage Discharge'!E$26:F$126,MATCH(C496,'Step 4 Stage Discharge'!E$26:E$126,1),1))</f>
        <v>0</v>
      </c>
      <c r="E496" s="219">
        <f>INDEX('Step 4 Stage Discharge'!E$26:M$126,MATCH(C496,'Step 4 Stage Discharge'!E$26:E$126,1),9)+(INDEX('Step 4 Stage Discharge'!E$26:M$126,MATCH('Step 6 Quality Check'!C496,'Step 4 Stage Discharge'!E$26:E$126,1)+1,9)-INDEX('Step 4 Stage Discharge'!E$26:M$126,MATCH('Step 6 Quality Check'!C496,'Step 4 Stage Discharge'!E$26:E$126,1),9))*('Step 6 Quality Check'!C496-INDEX('Step 4 Stage Discharge'!E$26:M$126,MATCH('Step 6 Quality Check'!C496,'Step 4 Stage Discharge'!E$26:E$126,1),1))/(INDEX('Step 4 Stage Discharge'!E$26:M$126,MATCH('Step 6 Quality Check'!C496,'Step 4 Stage Discharge'!E$26:E$126,1)+1,1)-INDEX('Step 4 Stage Discharge'!E$26:M$126,MATCH('Step 6 Quality Check'!C496,'Step 4 Stage Discharge'!E$26:E$126,1),1))</f>
        <v>4.3639431710317386E-3</v>
      </c>
      <c r="F496" s="218">
        <f t="shared" si="35"/>
        <v>0</v>
      </c>
      <c r="G496" s="218">
        <f t="shared" si="36"/>
        <v>0</v>
      </c>
    </row>
    <row r="497" spans="1:7">
      <c r="A497" s="217">
        <f t="shared" si="37"/>
        <v>2405</v>
      </c>
      <c r="B497" s="216">
        <f t="shared" si="38"/>
        <v>99.1</v>
      </c>
      <c r="C497" s="218">
        <f t="shared" si="39"/>
        <v>0</v>
      </c>
      <c r="D497" s="219">
        <f>INDEX('Step 4 Stage Discharge'!E$26:F$126,MATCH(C497,'Step 4 Stage Discharge'!E$26:E$126,1),2)+(INDEX('Step 4 Stage Discharge'!E$26:F$126,MATCH(C497,'Step 4 Stage Discharge'!E$26:E$126,1)+1,2)-INDEX('Step 4 Stage Discharge'!E$26:F$126,MATCH(C497,'Step 4 Stage Discharge'!E$26:E$126,1),2))*(C497-INDEX('Step 4 Stage Discharge'!E$26:F$126,MATCH(C497,'Step 4 Stage Discharge'!E$26:E$126,1),1))/(INDEX('Step 4 Stage Discharge'!E$26:F$126,MATCH(C497,'Step 4 Stage Discharge'!E$26:E$126,1)+1,1)-INDEX('Step 4 Stage Discharge'!E$26:F$126,MATCH(C497,'Step 4 Stage Discharge'!E$26:E$126,1),1))</f>
        <v>0</v>
      </c>
      <c r="E497" s="219">
        <f>INDEX('Step 4 Stage Discharge'!E$26:M$126,MATCH(C497,'Step 4 Stage Discharge'!E$26:E$126,1),9)+(INDEX('Step 4 Stage Discharge'!E$26:M$126,MATCH('Step 6 Quality Check'!C497,'Step 4 Stage Discharge'!E$26:E$126,1)+1,9)-INDEX('Step 4 Stage Discharge'!E$26:M$126,MATCH('Step 6 Quality Check'!C497,'Step 4 Stage Discharge'!E$26:E$126,1),9))*('Step 6 Quality Check'!C497-INDEX('Step 4 Stage Discharge'!E$26:M$126,MATCH('Step 6 Quality Check'!C497,'Step 4 Stage Discharge'!E$26:E$126,1),1))/(INDEX('Step 4 Stage Discharge'!E$26:M$126,MATCH('Step 6 Quality Check'!C497,'Step 4 Stage Discharge'!E$26:E$126,1)+1,1)-INDEX('Step 4 Stage Discharge'!E$26:M$126,MATCH('Step 6 Quality Check'!C497,'Step 4 Stage Discharge'!E$26:E$126,1),1))</f>
        <v>4.3639431710317386E-3</v>
      </c>
      <c r="F497" s="218">
        <f t="shared" si="35"/>
        <v>0</v>
      </c>
      <c r="G497" s="218">
        <f t="shared" si="36"/>
        <v>0</v>
      </c>
    </row>
    <row r="498" spans="1:7">
      <c r="A498" s="217">
        <f t="shared" si="37"/>
        <v>2410</v>
      </c>
      <c r="B498" s="216">
        <f t="shared" si="38"/>
        <v>99.1</v>
      </c>
      <c r="C498" s="218">
        <f t="shared" si="39"/>
        <v>0</v>
      </c>
      <c r="D498" s="219">
        <f>INDEX('Step 4 Stage Discharge'!E$26:F$126,MATCH(C498,'Step 4 Stage Discharge'!E$26:E$126,1),2)+(INDEX('Step 4 Stage Discharge'!E$26:F$126,MATCH(C498,'Step 4 Stage Discharge'!E$26:E$126,1)+1,2)-INDEX('Step 4 Stage Discharge'!E$26:F$126,MATCH(C498,'Step 4 Stage Discharge'!E$26:E$126,1),2))*(C498-INDEX('Step 4 Stage Discharge'!E$26:F$126,MATCH(C498,'Step 4 Stage Discharge'!E$26:E$126,1),1))/(INDEX('Step 4 Stage Discharge'!E$26:F$126,MATCH(C498,'Step 4 Stage Discharge'!E$26:E$126,1)+1,1)-INDEX('Step 4 Stage Discharge'!E$26:F$126,MATCH(C498,'Step 4 Stage Discharge'!E$26:E$126,1),1))</f>
        <v>0</v>
      </c>
      <c r="E498" s="219">
        <f>INDEX('Step 4 Stage Discharge'!E$26:M$126,MATCH(C498,'Step 4 Stage Discharge'!E$26:E$126,1),9)+(INDEX('Step 4 Stage Discharge'!E$26:M$126,MATCH('Step 6 Quality Check'!C498,'Step 4 Stage Discharge'!E$26:E$126,1)+1,9)-INDEX('Step 4 Stage Discharge'!E$26:M$126,MATCH('Step 6 Quality Check'!C498,'Step 4 Stage Discharge'!E$26:E$126,1),9))*('Step 6 Quality Check'!C498-INDEX('Step 4 Stage Discharge'!E$26:M$126,MATCH('Step 6 Quality Check'!C498,'Step 4 Stage Discharge'!E$26:E$126,1),1))/(INDEX('Step 4 Stage Discharge'!E$26:M$126,MATCH('Step 6 Quality Check'!C498,'Step 4 Stage Discharge'!E$26:E$126,1)+1,1)-INDEX('Step 4 Stage Discharge'!E$26:M$126,MATCH('Step 6 Quality Check'!C498,'Step 4 Stage Discharge'!E$26:E$126,1),1))</f>
        <v>4.3639431710317386E-3</v>
      </c>
      <c r="F498" s="218">
        <f t="shared" si="35"/>
        <v>0</v>
      </c>
      <c r="G498" s="218">
        <f t="shared" si="36"/>
        <v>0</v>
      </c>
    </row>
    <row r="499" spans="1:7">
      <c r="A499" s="217">
        <f t="shared" si="37"/>
        <v>2415</v>
      </c>
      <c r="B499" s="216">
        <f t="shared" si="38"/>
        <v>99.1</v>
      </c>
      <c r="C499" s="218">
        <f t="shared" si="39"/>
        <v>0</v>
      </c>
      <c r="D499" s="219">
        <f>INDEX('Step 4 Stage Discharge'!E$26:F$126,MATCH(C499,'Step 4 Stage Discharge'!E$26:E$126,1),2)+(INDEX('Step 4 Stage Discharge'!E$26:F$126,MATCH(C499,'Step 4 Stage Discharge'!E$26:E$126,1)+1,2)-INDEX('Step 4 Stage Discharge'!E$26:F$126,MATCH(C499,'Step 4 Stage Discharge'!E$26:E$126,1),2))*(C499-INDEX('Step 4 Stage Discharge'!E$26:F$126,MATCH(C499,'Step 4 Stage Discharge'!E$26:E$126,1),1))/(INDEX('Step 4 Stage Discharge'!E$26:F$126,MATCH(C499,'Step 4 Stage Discharge'!E$26:E$126,1)+1,1)-INDEX('Step 4 Stage Discharge'!E$26:F$126,MATCH(C499,'Step 4 Stage Discharge'!E$26:E$126,1),1))</f>
        <v>0</v>
      </c>
      <c r="E499" s="219">
        <f>INDEX('Step 4 Stage Discharge'!E$26:M$126,MATCH(C499,'Step 4 Stage Discharge'!E$26:E$126,1),9)+(INDEX('Step 4 Stage Discharge'!E$26:M$126,MATCH('Step 6 Quality Check'!C499,'Step 4 Stage Discharge'!E$26:E$126,1)+1,9)-INDEX('Step 4 Stage Discharge'!E$26:M$126,MATCH('Step 6 Quality Check'!C499,'Step 4 Stage Discharge'!E$26:E$126,1),9))*('Step 6 Quality Check'!C499-INDEX('Step 4 Stage Discharge'!E$26:M$126,MATCH('Step 6 Quality Check'!C499,'Step 4 Stage Discharge'!E$26:E$126,1),1))/(INDEX('Step 4 Stage Discharge'!E$26:M$126,MATCH('Step 6 Quality Check'!C499,'Step 4 Stage Discharge'!E$26:E$126,1)+1,1)-INDEX('Step 4 Stage Discharge'!E$26:M$126,MATCH('Step 6 Quality Check'!C499,'Step 4 Stage Discharge'!E$26:E$126,1),1))</f>
        <v>4.3639431710317386E-3</v>
      </c>
      <c r="F499" s="218">
        <f t="shared" si="35"/>
        <v>0</v>
      </c>
      <c r="G499" s="218">
        <f t="shared" si="36"/>
        <v>0</v>
      </c>
    </row>
    <row r="500" spans="1:7">
      <c r="A500" s="217">
        <f t="shared" si="37"/>
        <v>2420</v>
      </c>
      <c r="B500" s="216">
        <f t="shared" si="38"/>
        <v>99.1</v>
      </c>
      <c r="C500" s="218">
        <f t="shared" si="39"/>
        <v>0</v>
      </c>
      <c r="D500" s="219">
        <f>INDEX('Step 4 Stage Discharge'!E$26:F$126,MATCH(C500,'Step 4 Stage Discharge'!E$26:E$126,1),2)+(INDEX('Step 4 Stage Discharge'!E$26:F$126,MATCH(C500,'Step 4 Stage Discharge'!E$26:E$126,1)+1,2)-INDEX('Step 4 Stage Discharge'!E$26:F$126,MATCH(C500,'Step 4 Stage Discharge'!E$26:E$126,1),2))*(C500-INDEX('Step 4 Stage Discharge'!E$26:F$126,MATCH(C500,'Step 4 Stage Discharge'!E$26:E$126,1),1))/(INDEX('Step 4 Stage Discharge'!E$26:F$126,MATCH(C500,'Step 4 Stage Discharge'!E$26:E$126,1)+1,1)-INDEX('Step 4 Stage Discharge'!E$26:F$126,MATCH(C500,'Step 4 Stage Discharge'!E$26:E$126,1),1))</f>
        <v>0</v>
      </c>
      <c r="E500" s="219">
        <f>INDEX('Step 4 Stage Discharge'!E$26:M$126,MATCH(C500,'Step 4 Stage Discharge'!E$26:E$126,1),9)+(INDEX('Step 4 Stage Discharge'!E$26:M$126,MATCH('Step 6 Quality Check'!C500,'Step 4 Stage Discharge'!E$26:E$126,1)+1,9)-INDEX('Step 4 Stage Discharge'!E$26:M$126,MATCH('Step 6 Quality Check'!C500,'Step 4 Stage Discharge'!E$26:E$126,1),9))*('Step 6 Quality Check'!C500-INDEX('Step 4 Stage Discharge'!E$26:M$126,MATCH('Step 6 Quality Check'!C500,'Step 4 Stage Discharge'!E$26:E$126,1),1))/(INDEX('Step 4 Stage Discharge'!E$26:M$126,MATCH('Step 6 Quality Check'!C500,'Step 4 Stage Discharge'!E$26:E$126,1)+1,1)-INDEX('Step 4 Stage Discharge'!E$26:M$126,MATCH('Step 6 Quality Check'!C500,'Step 4 Stage Discharge'!E$26:E$126,1),1))</f>
        <v>4.3639431710317386E-3</v>
      </c>
      <c r="F500" s="218">
        <f t="shared" si="35"/>
        <v>0</v>
      </c>
      <c r="G500" s="218">
        <f t="shared" si="36"/>
        <v>0</v>
      </c>
    </row>
    <row r="501" spans="1:7">
      <c r="A501" s="217">
        <f t="shared" si="37"/>
        <v>2425</v>
      </c>
      <c r="B501" s="216">
        <f t="shared" si="38"/>
        <v>99.1</v>
      </c>
      <c r="C501" s="218">
        <f t="shared" si="39"/>
        <v>0</v>
      </c>
      <c r="D501" s="219">
        <f>INDEX('Step 4 Stage Discharge'!E$26:F$126,MATCH(C501,'Step 4 Stage Discharge'!E$26:E$126,1),2)+(INDEX('Step 4 Stage Discharge'!E$26:F$126,MATCH(C501,'Step 4 Stage Discharge'!E$26:E$126,1)+1,2)-INDEX('Step 4 Stage Discharge'!E$26:F$126,MATCH(C501,'Step 4 Stage Discharge'!E$26:E$126,1),2))*(C501-INDEX('Step 4 Stage Discharge'!E$26:F$126,MATCH(C501,'Step 4 Stage Discharge'!E$26:E$126,1),1))/(INDEX('Step 4 Stage Discharge'!E$26:F$126,MATCH(C501,'Step 4 Stage Discharge'!E$26:E$126,1)+1,1)-INDEX('Step 4 Stage Discharge'!E$26:F$126,MATCH(C501,'Step 4 Stage Discharge'!E$26:E$126,1),1))</f>
        <v>0</v>
      </c>
      <c r="E501" s="219">
        <f>INDEX('Step 4 Stage Discharge'!E$26:M$126,MATCH(C501,'Step 4 Stage Discharge'!E$26:E$126,1),9)+(INDEX('Step 4 Stage Discharge'!E$26:M$126,MATCH('Step 6 Quality Check'!C501,'Step 4 Stage Discharge'!E$26:E$126,1)+1,9)-INDEX('Step 4 Stage Discharge'!E$26:M$126,MATCH('Step 6 Quality Check'!C501,'Step 4 Stage Discharge'!E$26:E$126,1),9))*('Step 6 Quality Check'!C501-INDEX('Step 4 Stage Discharge'!E$26:M$126,MATCH('Step 6 Quality Check'!C501,'Step 4 Stage Discharge'!E$26:E$126,1),1))/(INDEX('Step 4 Stage Discharge'!E$26:M$126,MATCH('Step 6 Quality Check'!C501,'Step 4 Stage Discharge'!E$26:E$126,1)+1,1)-INDEX('Step 4 Stage Discharge'!E$26:M$126,MATCH('Step 6 Quality Check'!C501,'Step 4 Stage Discharge'!E$26:E$126,1),1))</f>
        <v>4.3639431710317386E-3</v>
      </c>
      <c r="F501" s="218">
        <f t="shared" si="35"/>
        <v>0</v>
      </c>
      <c r="G501" s="218">
        <f t="shared" si="36"/>
        <v>0</v>
      </c>
    </row>
    <row r="502" spans="1:7">
      <c r="A502" s="217">
        <f t="shared" si="37"/>
        <v>2430</v>
      </c>
      <c r="B502" s="216">
        <f t="shared" si="38"/>
        <v>99.1</v>
      </c>
      <c r="C502" s="218">
        <f t="shared" si="39"/>
        <v>0</v>
      </c>
      <c r="D502" s="219">
        <f>INDEX('Step 4 Stage Discharge'!E$26:F$126,MATCH(C502,'Step 4 Stage Discharge'!E$26:E$126,1),2)+(INDEX('Step 4 Stage Discharge'!E$26:F$126,MATCH(C502,'Step 4 Stage Discharge'!E$26:E$126,1)+1,2)-INDEX('Step 4 Stage Discharge'!E$26:F$126,MATCH(C502,'Step 4 Stage Discharge'!E$26:E$126,1),2))*(C502-INDEX('Step 4 Stage Discharge'!E$26:F$126,MATCH(C502,'Step 4 Stage Discharge'!E$26:E$126,1),1))/(INDEX('Step 4 Stage Discharge'!E$26:F$126,MATCH(C502,'Step 4 Stage Discharge'!E$26:E$126,1)+1,1)-INDEX('Step 4 Stage Discharge'!E$26:F$126,MATCH(C502,'Step 4 Stage Discharge'!E$26:E$126,1),1))</f>
        <v>0</v>
      </c>
      <c r="E502" s="219">
        <f>INDEX('Step 4 Stage Discharge'!E$26:M$126,MATCH(C502,'Step 4 Stage Discharge'!E$26:E$126,1),9)+(INDEX('Step 4 Stage Discharge'!E$26:M$126,MATCH('Step 6 Quality Check'!C502,'Step 4 Stage Discharge'!E$26:E$126,1)+1,9)-INDEX('Step 4 Stage Discharge'!E$26:M$126,MATCH('Step 6 Quality Check'!C502,'Step 4 Stage Discharge'!E$26:E$126,1),9))*('Step 6 Quality Check'!C502-INDEX('Step 4 Stage Discharge'!E$26:M$126,MATCH('Step 6 Quality Check'!C502,'Step 4 Stage Discharge'!E$26:E$126,1),1))/(INDEX('Step 4 Stage Discharge'!E$26:M$126,MATCH('Step 6 Quality Check'!C502,'Step 4 Stage Discharge'!E$26:E$126,1)+1,1)-INDEX('Step 4 Stage Discharge'!E$26:M$126,MATCH('Step 6 Quality Check'!C502,'Step 4 Stage Discharge'!E$26:E$126,1),1))</f>
        <v>4.3639431710317386E-3</v>
      </c>
      <c r="F502" s="218">
        <f t="shared" si="35"/>
        <v>0</v>
      </c>
      <c r="G502" s="218">
        <f t="shared" si="36"/>
        <v>0</v>
      </c>
    </row>
    <row r="503" spans="1:7">
      <c r="A503" s="217">
        <f t="shared" si="37"/>
        <v>2435</v>
      </c>
      <c r="B503" s="216">
        <f t="shared" si="38"/>
        <v>99.1</v>
      </c>
      <c r="C503" s="218">
        <f t="shared" si="39"/>
        <v>0</v>
      </c>
      <c r="D503" s="219">
        <f>INDEX('Step 4 Stage Discharge'!E$26:F$126,MATCH(C503,'Step 4 Stage Discharge'!E$26:E$126,1),2)+(INDEX('Step 4 Stage Discharge'!E$26:F$126,MATCH(C503,'Step 4 Stage Discharge'!E$26:E$126,1)+1,2)-INDEX('Step 4 Stage Discharge'!E$26:F$126,MATCH(C503,'Step 4 Stage Discharge'!E$26:E$126,1),2))*(C503-INDEX('Step 4 Stage Discharge'!E$26:F$126,MATCH(C503,'Step 4 Stage Discharge'!E$26:E$126,1),1))/(INDEX('Step 4 Stage Discharge'!E$26:F$126,MATCH(C503,'Step 4 Stage Discharge'!E$26:E$126,1)+1,1)-INDEX('Step 4 Stage Discharge'!E$26:F$126,MATCH(C503,'Step 4 Stage Discharge'!E$26:E$126,1),1))</f>
        <v>0</v>
      </c>
      <c r="E503" s="219">
        <f>INDEX('Step 4 Stage Discharge'!E$26:M$126,MATCH(C503,'Step 4 Stage Discharge'!E$26:E$126,1),9)+(INDEX('Step 4 Stage Discharge'!E$26:M$126,MATCH('Step 6 Quality Check'!C503,'Step 4 Stage Discharge'!E$26:E$126,1)+1,9)-INDEX('Step 4 Stage Discharge'!E$26:M$126,MATCH('Step 6 Quality Check'!C503,'Step 4 Stage Discharge'!E$26:E$126,1),9))*('Step 6 Quality Check'!C503-INDEX('Step 4 Stage Discharge'!E$26:M$126,MATCH('Step 6 Quality Check'!C503,'Step 4 Stage Discharge'!E$26:E$126,1),1))/(INDEX('Step 4 Stage Discharge'!E$26:M$126,MATCH('Step 6 Quality Check'!C503,'Step 4 Stage Discharge'!E$26:E$126,1)+1,1)-INDEX('Step 4 Stage Discharge'!E$26:M$126,MATCH('Step 6 Quality Check'!C503,'Step 4 Stage Discharge'!E$26:E$126,1),1))</f>
        <v>4.3639431710317386E-3</v>
      </c>
      <c r="F503" s="218">
        <f t="shared" si="35"/>
        <v>0</v>
      </c>
      <c r="G503" s="218">
        <f t="shared" si="36"/>
        <v>0</v>
      </c>
    </row>
    <row r="504" spans="1:7">
      <c r="A504" s="217">
        <f t="shared" si="37"/>
        <v>2440</v>
      </c>
      <c r="B504" s="216">
        <f t="shared" si="38"/>
        <v>99.1</v>
      </c>
      <c r="C504" s="218">
        <f t="shared" si="39"/>
        <v>0</v>
      </c>
      <c r="D504" s="219">
        <f>INDEX('Step 4 Stage Discharge'!E$26:F$126,MATCH(C504,'Step 4 Stage Discharge'!E$26:E$126,1),2)+(INDEX('Step 4 Stage Discharge'!E$26:F$126,MATCH(C504,'Step 4 Stage Discharge'!E$26:E$126,1)+1,2)-INDEX('Step 4 Stage Discharge'!E$26:F$126,MATCH(C504,'Step 4 Stage Discharge'!E$26:E$126,1),2))*(C504-INDEX('Step 4 Stage Discharge'!E$26:F$126,MATCH(C504,'Step 4 Stage Discharge'!E$26:E$126,1),1))/(INDEX('Step 4 Stage Discharge'!E$26:F$126,MATCH(C504,'Step 4 Stage Discharge'!E$26:E$126,1)+1,1)-INDEX('Step 4 Stage Discharge'!E$26:F$126,MATCH(C504,'Step 4 Stage Discharge'!E$26:E$126,1),1))</f>
        <v>0</v>
      </c>
      <c r="E504" s="219">
        <f>INDEX('Step 4 Stage Discharge'!E$26:M$126,MATCH(C504,'Step 4 Stage Discharge'!E$26:E$126,1),9)+(INDEX('Step 4 Stage Discharge'!E$26:M$126,MATCH('Step 6 Quality Check'!C504,'Step 4 Stage Discharge'!E$26:E$126,1)+1,9)-INDEX('Step 4 Stage Discharge'!E$26:M$126,MATCH('Step 6 Quality Check'!C504,'Step 4 Stage Discharge'!E$26:E$126,1),9))*('Step 6 Quality Check'!C504-INDEX('Step 4 Stage Discharge'!E$26:M$126,MATCH('Step 6 Quality Check'!C504,'Step 4 Stage Discharge'!E$26:E$126,1),1))/(INDEX('Step 4 Stage Discharge'!E$26:M$126,MATCH('Step 6 Quality Check'!C504,'Step 4 Stage Discharge'!E$26:E$126,1)+1,1)-INDEX('Step 4 Stage Discharge'!E$26:M$126,MATCH('Step 6 Quality Check'!C504,'Step 4 Stage Discharge'!E$26:E$126,1),1))</f>
        <v>4.3639431710317386E-3</v>
      </c>
      <c r="F504" s="218">
        <f t="shared" si="35"/>
        <v>0</v>
      </c>
      <c r="G504" s="218">
        <f t="shared" si="36"/>
        <v>0</v>
      </c>
    </row>
    <row r="505" spans="1:7">
      <c r="A505" s="217">
        <f t="shared" si="37"/>
        <v>2445</v>
      </c>
      <c r="B505" s="216">
        <f t="shared" si="38"/>
        <v>99.1</v>
      </c>
      <c r="C505" s="218">
        <f t="shared" si="39"/>
        <v>0</v>
      </c>
      <c r="D505" s="219">
        <f>INDEX('Step 4 Stage Discharge'!E$26:F$126,MATCH(C505,'Step 4 Stage Discharge'!E$26:E$126,1),2)+(INDEX('Step 4 Stage Discharge'!E$26:F$126,MATCH(C505,'Step 4 Stage Discharge'!E$26:E$126,1)+1,2)-INDEX('Step 4 Stage Discharge'!E$26:F$126,MATCH(C505,'Step 4 Stage Discharge'!E$26:E$126,1),2))*(C505-INDEX('Step 4 Stage Discharge'!E$26:F$126,MATCH(C505,'Step 4 Stage Discharge'!E$26:E$126,1),1))/(INDEX('Step 4 Stage Discharge'!E$26:F$126,MATCH(C505,'Step 4 Stage Discharge'!E$26:E$126,1)+1,1)-INDEX('Step 4 Stage Discharge'!E$26:F$126,MATCH(C505,'Step 4 Stage Discharge'!E$26:E$126,1),1))</f>
        <v>0</v>
      </c>
      <c r="E505" s="219">
        <f>INDEX('Step 4 Stage Discharge'!E$26:M$126,MATCH(C505,'Step 4 Stage Discharge'!E$26:E$126,1),9)+(INDEX('Step 4 Stage Discharge'!E$26:M$126,MATCH('Step 6 Quality Check'!C505,'Step 4 Stage Discharge'!E$26:E$126,1)+1,9)-INDEX('Step 4 Stage Discharge'!E$26:M$126,MATCH('Step 6 Quality Check'!C505,'Step 4 Stage Discharge'!E$26:E$126,1),9))*('Step 6 Quality Check'!C505-INDEX('Step 4 Stage Discharge'!E$26:M$126,MATCH('Step 6 Quality Check'!C505,'Step 4 Stage Discharge'!E$26:E$126,1),1))/(INDEX('Step 4 Stage Discharge'!E$26:M$126,MATCH('Step 6 Quality Check'!C505,'Step 4 Stage Discharge'!E$26:E$126,1)+1,1)-INDEX('Step 4 Stage Discharge'!E$26:M$126,MATCH('Step 6 Quality Check'!C505,'Step 4 Stage Discharge'!E$26:E$126,1),1))</f>
        <v>4.3639431710317386E-3</v>
      </c>
      <c r="F505" s="218">
        <f t="shared" si="35"/>
        <v>0</v>
      </c>
      <c r="G505" s="218">
        <f t="shared" si="36"/>
        <v>0</v>
      </c>
    </row>
    <row r="506" spans="1:7">
      <c r="A506" s="217">
        <f t="shared" si="37"/>
        <v>2450</v>
      </c>
      <c r="B506" s="216">
        <f t="shared" si="38"/>
        <v>99.1</v>
      </c>
      <c r="C506" s="218">
        <f t="shared" si="39"/>
        <v>0</v>
      </c>
      <c r="D506" s="219">
        <f>INDEX('Step 4 Stage Discharge'!E$26:F$126,MATCH(C506,'Step 4 Stage Discharge'!E$26:E$126,1),2)+(INDEX('Step 4 Stage Discharge'!E$26:F$126,MATCH(C506,'Step 4 Stage Discharge'!E$26:E$126,1)+1,2)-INDEX('Step 4 Stage Discharge'!E$26:F$126,MATCH(C506,'Step 4 Stage Discharge'!E$26:E$126,1),2))*(C506-INDEX('Step 4 Stage Discharge'!E$26:F$126,MATCH(C506,'Step 4 Stage Discharge'!E$26:E$126,1),1))/(INDEX('Step 4 Stage Discharge'!E$26:F$126,MATCH(C506,'Step 4 Stage Discharge'!E$26:E$126,1)+1,1)-INDEX('Step 4 Stage Discharge'!E$26:F$126,MATCH(C506,'Step 4 Stage Discharge'!E$26:E$126,1),1))</f>
        <v>0</v>
      </c>
      <c r="E506" s="219">
        <f>INDEX('Step 4 Stage Discharge'!E$26:M$126,MATCH(C506,'Step 4 Stage Discharge'!E$26:E$126,1),9)+(INDEX('Step 4 Stage Discharge'!E$26:M$126,MATCH('Step 6 Quality Check'!C506,'Step 4 Stage Discharge'!E$26:E$126,1)+1,9)-INDEX('Step 4 Stage Discharge'!E$26:M$126,MATCH('Step 6 Quality Check'!C506,'Step 4 Stage Discharge'!E$26:E$126,1),9))*('Step 6 Quality Check'!C506-INDEX('Step 4 Stage Discharge'!E$26:M$126,MATCH('Step 6 Quality Check'!C506,'Step 4 Stage Discharge'!E$26:E$126,1),1))/(INDEX('Step 4 Stage Discharge'!E$26:M$126,MATCH('Step 6 Quality Check'!C506,'Step 4 Stage Discharge'!E$26:E$126,1)+1,1)-INDEX('Step 4 Stage Discharge'!E$26:M$126,MATCH('Step 6 Quality Check'!C506,'Step 4 Stage Discharge'!E$26:E$126,1),1))</f>
        <v>4.3639431710317386E-3</v>
      </c>
      <c r="F506" s="218">
        <f t="shared" si="35"/>
        <v>0</v>
      </c>
      <c r="G506" s="218">
        <f t="shared" si="36"/>
        <v>0</v>
      </c>
    </row>
    <row r="507" spans="1:7">
      <c r="A507" s="217">
        <f t="shared" si="37"/>
        <v>2455</v>
      </c>
      <c r="B507" s="216">
        <f t="shared" si="38"/>
        <v>99.1</v>
      </c>
      <c r="C507" s="218">
        <f t="shared" si="39"/>
        <v>0</v>
      </c>
      <c r="D507" s="219">
        <f>INDEX('Step 4 Stage Discharge'!E$26:F$126,MATCH(C507,'Step 4 Stage Discharge'!E$26:E$126,1),2)+(INDEX('Step 4 Stage Discharge'!E$26:F$126,MATCH(C507,'Step 4 Stage Discharge'!E$26:E$126,1)+1,2)-INDEX('Step 4 Stage Discharge'!E$26:F$126,MATCH(C507,'Step 4 Stage Discharge'!E$26:E$126,1),2))*(C507-INDEX('Step 4 Stage Discharge'!E$26:F$126,MATCH(C507,'Step 4 Stage Discharge'!E$26:E$126,1),1))/(INDEX('Step 4 Stage Discharge'!E$26:F$126,MATCH(C507,'Step 4 Stage Discharge'!E$26:E$126,1)+1,1)-INDEX('Step 4 Stage Discharge'!E$26:F$126,MATCH(C507,'Step 4 Stage Discharge'!E$26:E$126,1),1))</f>
        <v>0</v>
      </c>
      <c r="E507" s="219">
        <f>INDEX('Step 4 Stage Discharge'!E$26:M$126,MATCH(C507,'Step 4 Stage Discharge'!E$26:E$126,1),9)+(INDEX('Step 4 Stage Discharge'!E$26:M$126,MATCH('Step 6 Quality Check'!C507,'Step 4 Stage Discharge'!E$26:E$126,1)+1,9)-INDEX('Step 4 Stage Discharge'!E$26:M$126,MATCH('Step 6 Quality Check'!C507,'Step 4 Stage Discharge'!E$26:E$126,1),9))*('Step 6 Quality Check'!C507-INDEX('Step 4 Stage Discharge'!E$26:M$126,MATCH('Step 6 Quality Check'!C507,'Step 4 Stage Discharge'!E$26:E$126,1),1))/(INDEX('Step 4 Stage Discharge'!E$26:M$126,MATCH('Step 6 Quality Check'!C507,'Step 4 Stage Discharge'!E$26:E$126,1)+1,1)-INDEX('Step 4 Stage Discharge'!E$26:M$126,MATCH('Step 6 Quality Check'!C507,'Step 4 Stage Discharge'!E$26:E$126,1),1))</f>
        <v>4.3639431710317386E-3</v>
      </c>
      <c r="F507" s="218">
        <f t="shared" si="35"/>
        <v>0</v>
      </c>
      <c r="G507" s="218">
        <f t="shared" si="36"/>
        <v>0</v>
      </c>
    </row>
    <row r="508" spans="1:7">
      <c r="A508" s="217">
        <f t="shared" si="37"/>
        <v>2460</v>
      </c>
      <c r="B508" s="216">
        <f t="shared" si="38"/>
        <v>99.1</v>
      </c>
      <c r="C508" s="218">
        <f t="shared" si="39"/>
        <v>0</v>
      </c>
      <c r="D508" s="219">
        <f>INDEX('Step 4 Stage Discharge'!E$26:F$126,MATCH(C508,'Step 4 Stage Discharge'!E$26:E$126,1),2)+(INDEX('Step 4 Stage Discharge'!E$26:F$126,MATCH(C508,'Step 4 Stage Discharge'!E$26:E$126,1)+1,2)-INDEX('Step 4 Stage Discharge'!E$26:F$126,MATCH(C508,'Step 4 Stage Discharge'!E$26:E$126,1),2))*(C508-INDEX('Step 4 Stage Discharge'!E$26:F$126,MATCH(C508,'Step 4 Stage Discharge'!E$26:E$126,1),1))/(INDEX('Step 4 Stage Discharge'!E$26:F$126,MATCH(C508,'Step 4 Stage Discharge'!E$26:E$126,1)+1,1)-INDEX('Step 4 Stage Discharge'!E$26:F$126,MATCH(C508,'Step 4 Stage Discharge'!E$26:E$126,1),1))</f>
        <v>0</v>
      </c>
      <c r="E508" s="219">
        <f>INDEX('Step 4 Stage Discharge'!E$26:M$126,MATCH(C508,'Step 4 Stage Discharge'!E$26:E$126,1),9)+(INDEX('Step 4 Stage Discharge'!E$26:M$126,MATCH('Step 6 Quality Check'!C508,'Step 4 Stage Discharge'!E$26:E$126,1)+1,9)-INDEX('Step 4 Stage Discharge'!E$26:M$126,MATCH('Step 6 Quality Check'!C508,'Step 4 Stage Discharge'!E$26:E$126,1),9))*('Step 6 Quality Check'!C508-INDEX('Step 4 Stage Discharge'!E$26:M$126,MATCH('Step 6 Quality Check'!C508,'Step 4 Stage Discharge'!E$26:E$126,1),1))/(INDEX('Step 4 Stage Discharge'!E$26:M$126,MATCH('Step 6 Quality Check'!C508,'Step 4 Stage Discharge'!E$26:E$126,1)+1,1)-INDEX('Step 4 Stage Discharge'!E$26:M$126,MATCH('Step 6 Quality Check'!C508,'Step 4 Stage Discharge'!E$26:E$126,1),1))</f>
        <v>4.3639431710317386E-3</v>
      </c>
      <c r="F508" s="218">
        <f t="shared" si="35"/>
        <v>0</v>
      </c>
      <c r="G508" s="218">
        <f t="shared" si="36"/>
        <v>0</v>
      </c>
    </row>
    <row r="509" spans="1:7">
      <c r="A509" s="217">
        <f t="shared" si="37"/>
        <v>2465</v>
      </c>
      <c r="B509" s="216">
        <f t="shared" si="38"/>
        <v>99.1</v>
      </c>
      <c r="C509" s="218">
        <f t="shared" si="39"/>
        <v>0</v>
      </c>
      <c r="D509" s="219">
        <f>INDEX('Step 4 Stage Discharge'!E$26:F$126,MATCH(C509,'Step 4 Stage Discharge'!E$26:E$126,1),2)+(INDEX('Step 4 Stage Discharge'!E$26:F$126,MATCH(C509,'Step 4 Stage Discharge'!E$26:E$126,1)+1,2)-INDEX('Step 4 Stage Discharge'!E$26:F$126,MATCH(C509,'Step 4 Stage Discharge'!E$26:E$126,1),2))*(C509-INDEX('Step 4 Stage Discharge'!E$26:F$126,MATCH(C509,'Step 4 Stage Discharge'!E$26:E$126,1),1))/(INDEX('Step 4 Stage Discharge'!E$26:F$126,MATCH(C509,'Step 4 Stage Discharge'!E$26:E$126,1)+1,1)-INDEX('Step 4 Stage Discharge'!E$26:F$126,MATCH(C509,'Step 4 Stage Discharge'!E$26:E$126,1),1))</f>
        <v>0</v>
      </c>
      <c r="E509" s="219">
        <f>INDEX('Step 4 Stage Discharge'!E$26:M$126,MATCH(C509,'Step 4 Stage Discharge'!E$26:E$126,1),9)+(INDEX('Step 4 Stage Discharge'!E$26:M$126,MATCH('Step 6 Quality Check'!C509,'Step 4 Stage Discharge'!E$26:E$126,1)+1,9)-INDEX('Step 4 Stage Discharge'!E$26:M$126,MATCH('Step 6 Quality Check'!C509,'Step 4 Stage Discharge'!E$26:E$126,1),9))*('Step 6 Quality Check'!C509-INDEX('Step 4 Stage Discharge'!E$26:M$126,MATCH('Step 6 Quality Check'!C509,'Step 4 Stage Discharge'!E$26:E$126,1),1))/(INDEX('Step 4 Stage Discharge'!E$26:M$126,MATCH('Step 6 Quality Check'!C509,'Step 4 Stage Discharge'!E$26:E$126,1)+1,1)-INDEX('Step 4 Stage Discharge'!E$26:M$126,MATCH('Step 6 Quality Check'!C509,'Step 4 Stage Discharge'!E$26:E$126,1),1))</f>
        <v>4.3639431710317386E-3</v>
      </c>
      <c r="F509" s="218">
        <f t="shared" si="35"/>
        <v>0</v>
      </c>
      <c r="G509" s="218">
        <f t="shared" si="36"/>
        <v>0</v>
      </c>
    </row>
    <row r="510" spans="1:7">
      <c r="A510" s="217">
        <f t="shared" si="37"/>
        <v>2470</v>
      </c>
      <c r="B510" s="216">
        <f t="shared" si="38"/>
        <v>99.1</v>
      </c>
      <c r="C510" s="218">
        <f t="shared" si="39"/>
        <v>0</v>
      </c>
      <c r="D510" s="219">
        <f>INDEX('Step 4 Stage Discharge'!E$26:F$126,MATCH(C510,'Step 4 Stage Discharge'!E$26:E$126,1),2)+(INDEX('Step 4 Stage Discharge'!E$26:F$126,MATCH(C510,'Step 4 Stage Discharge'!E$26:E$126,1)+1,2)-INDEX('Step 4 Stage Discharge'!E$26:F$126,MATCH(C510,'Step 4 Stage Discharge'!E$26:E$126,1),2))*(C510-INDEX('Step 4 Stage Discharge'!E$26:F$126,MATCH(C510,'Step 4 Stage Discharge'!E$26:E$126,1),1))/(INDEX('Step 4 Stage Discharge'!E$26:F$126,MATCH(C510,'Step 4 Stage Discharge'!E$26:E$126,1)+1,1)-INDEX('Step 4 Stage Discharge'!E$26:F$126,MATCH(C510,'Step 4 Stage Discharge'!E$26:E$126,1),1))</f>
        <v>0</v>
      </c>
      <c r="E510" s="219">
        <f>INDEX('Step 4 Stage Discharge'!E$26:M$126,MATCH(C510,'Step 4 Stage Discharge'!E$26:E$126,1),9)+(INDEX('Step 4 Stage Discharge'!E$26:M$126,MATCH('Step 6 Quality Check'!C510,'Step 4 Stage Discharge'!E$26:E$126,1)+1,9)-INDEX('Step 4 Stage Discharge'!E$26:M$126,MATCH('Step 6 Quality Check'!C510,'Step 4 Stage Discharge'!E$26:E$126,1),9))*('Step 6 Quality Check'!C510-INDEX('Step 4 Stage Discharge'!E$26:M$126,MATCH('Step 6 Quality Check'!C510,'Step 4 Stage Discharge'!E$26:E$126,1),1))/(INDEX('Step 4 Stage Discharge'!E$26:M$126,MATCH('Step 6 Quality Check'!C510,'Step 4 Stage Discharge'!E$26:E$126,1)+1,1)-INDEX('Step 4 Stage Discharge'!E$26:M$126,MATCH('Step 6 Quality Check'!C510,'Step 4 Stage Discharge'!E$26:E$126,1),1))</f>
        <v>4.3639431710317386E-3</v>
      </c>
      <c r="F510" s="218">
        <f t="shared" si="35"/>
        <v>0</v>
      </c>
      <c r="G510" s="218">
        <f t="shared" si="36"/>
        <v>0</v>
      </c>
    </row>
    <row r="511" spans="1:7">
      <c r="A511" s="217">
        <f t="shared" si="37"/>
        <v>2475</v>
      </c>
      <c r="B511" s="216">
        <f t="shared" si="38"/>
        <v>99.1</v>
      </c>
      <c r="C511" s="218">
        <f t="shared" si="39"/>
        <v>0</v>
      </c>
      <c r="D511" s="219">
        <f>INDEX('Step 4 Stage Discharge'!E$26:F$126,MATCH(C511,'Step 4 Stage Discharge'!E$26:E$126,1),2)+(INDEX('Step 4 Stage Discharge'!E$26:F$126,MATCH(C511,'Step 4 Stage Discharge'!E$26:E$126,1)+1,2)-INDEX('Step 4 Stage Discharge'!E$26:F$126,MATCH(C511,'Step 4 Stage Discharge'!E$26:E$126,1),2))*(C511-INDEX('Step 4 Stage Discharge'!E$26:F$126,MATCH(C511,'Step 4 Stage Discharge'!E$26:E$126,1),1))/(INDEX('Step 4 Stage Discharge'!E$26:F$126,MATCH(C511,'Step 4 Stage Discharge'!E$26:E$126,1)+1,1)-INDEX('Step 4 Stage Discharge'!E$26:F$126,MATCH(C511,'Step 4 Stage Discharge'!E$26:E$126,1),1))</f>
        <v>0</v>
      </c>
      <c r="E511" s="219">
        <f>INDEX('Step 4 Stage Discharge'!E$26:M$126,MATCH(C511,'Step 4 Stage Discharge'!E$26:E$126,1),9)+(INDEX('Step 4 Stage Discharge'!E$26:M$126,MATCH('Step 6 Quality Check'!C511,'Step 4 Stage Discharge'!E$26:E$126,1)+1,9)-INDEX('Step 4 Stage Discharge'!E$26:M$126,MATCH('Step 6 Quality Check'!C511,'Step 4 Stage Discharge'!E$26:E$126,1),9))*('Step 6 Quality Check'!C511-INDEX('Step 4 Stage Discharge'!E$26:M$126,MATCH('Step 6 Quality Check'!C511,'Step 4 Stage Discharge'!E$26:E$126,1),1))/(INDEX('Step 4 Stage Discharge'!E$26:M$126,MATCH('Step 6 Quality Check'!C511,'Step 4 Stage Discharge'!E$26:E$126,1)+1,1)-INDEX('Step 4 Stage Discharge'!E$26:M$126,MATCH('Step 6 Quality Check'!C511,'Step 4 Stage Discharge'!E$26:E$126,1),1))</f>
        <v>4.3639431710317386E-3</v>
      </c>
      <c r="F511" s="218">
        <f t="shared" si="35"/>
        <v>0</v>
      </c>
      <c r="G511" s="218">
        <f t="shared" si="36"/>
        <v>0</v>
      </c>
    </row>
    <row r="512" spans="1:7">
      <c r="A512" s="217">
        <f t="shared" si="37"/>
        <v>2480</v>
      </c>
      <c r="B512" s="216">
        <f t="shared" si="38"/>
        <v>99.1</v>
      </c>
      <c r="C512" s="218">
        <f t="shared" si="39"/>
        <v>0</v>
      </c>
      <c r="D512" s="219">
        <f>INDEX('Step 4 Stage Discharge'!E$26:F$126,MATCH(C512,'Step 4 Stage Discharge'!E$26:E$126,1),2)+(INDEX('Step 4 Stage Discharge'!E$26:F$126,MATCH(C512,'Step 4 Stage Discharge'!E$26:E$126,1)+1,2)-INDEX('Step 4 Stage Discharge'!E$26:F$126,MATCH(C512,'Step 4 Stage Discharge'!E$26:E$126,1),2))*(C512-INDEX('Step 4 Stage Discharge'!E$26:F$126,MATCH(C512,'Step 4 Stage Discharge'!E$26:E$126,1),1))/(INDEX('Step 4 Stage Discharge'!E$26:F$126,MATCH(C512,'Step 4 Stage Discharge'!E$26:E$126,1)+1,1)-INDEX('Step 4 Stage Discharge'!E$26:F$126,MATCH(C512,'Step 4 Stage Discharge'!E$26:E$126,1),1))</f>
        <v>0</v>
      </c>
      <c r="E512" s="219">
        <f>INDEX('Step 4 Stage Discharge'!E$26:M$126,MATCH(C512,'Step 4 Stage Discharge'!E$26:E$126,1),9)+(INDEX('Step 4 Stage Discharge'!E$26:M$126,MATCH('Step 6 Quality Check'!C512,'Step 4 Stage Discharge'!E$26:E$126,1)+1,9)-INDEX('Step 4 Stage Discharge'!E$26:M$126,MATCH('Step 6 Quality Check'!C512,'Step 4 Stage Discharge'!E$26:E$126,1),9))*('Step 6 Quality Check'!C512-INDEX('Step 4 Stage Discharge'!E$26:M$126,MATCH('Step 6 Quality Check'!C512,'Step 4 Stage Discharge'!E$26:E$126,1),1))/(INDEX('Step 4 Stage Discharge'!E$26:M$126,MATCH('Step 6 Quality Check'!C512,'Step 4 Stage Discharge'!E$26:E$126,1)+1,1)-INDEX('Step 4 Stage Discharge'!E$26:M$126,MATCH('Step 6 Quality Check'!C512,'Step 4 Stage Discharge'!E$26:E$126,1),1))</f>
        <v>4.3639431710317386E-3</v>
      </c>
      <c r="F512" s="218">
        <f t="shared" si="35"/>
        <v>0</v>
      </c>
      <c r="G512" s="218">
        <f t="shared" si="36"/>
        <v>0</v>
      </c>
    </row>
    <row r="513" spans="1:7">
      <c r="A513" s="217">
        <f t="shared" si="37"/>
        <v>2485</v>
      </c>
      <c r="B513" s="216">
        <f t="shared" si="38"/>
        <v>99.1</v>
      </c>
      <c r="C513" s="218">
        <f t="shared" si="39"/>
        <v>0</v>
      </c>
      <c r="D513" s="219">
        <f>INDEX('Step 4 Stage Discharge'!E$26:F$126,MATCH(C513,'Step 4 Stage Discharge'!E$26:E$126,1),2)+(INDEX('Step 4 Stage Discharge'!E$26:F$126,MATCH(C513,'Step 4 Stage Discharge'!E$26:E$126,1)+1,2)-INDEX('Step 4 Stage Discharge'!E$26:F$126,MATCH(C513,'Step 4 Stage Discharge'!E$26:E$126,1),2))*(C513-INDEX('Step 4 Stage Discharge'!E$26:F$126,MATCH(C513,'Step 4 Stage Discharge'!E$26:E$126,1),1))/(INDEX('Step 4 Stage Discharge'!E$26:F$126,MATCH(C513,'Step 4 Stage Discharge'!E$26:E$126,1)+1,1)-INDEX('Step 4 Stage Discharge'!E$26:F$126,MATCH(C513,'Step 4 Stage Discharge'!E$26:E$126,1),1))</f>
        <v>0</v>
      </c>
      <c r="E513" s="219">
        <f>INDEX('Step 4 Stage Discharge'!E$26:M$126,MATCH(C513,'Step 4 Stage Discharge'!E$26:E$126,1),9)+(INDEX('Step 4 Stage Discharge'!E$26:M$126,MATCH('Step 6 Quality Check'!C513,'Step 4 Stage Discharge'!E$26:E$126,1)+1,9)-INDEX('Step 4 Stage Discharge'!E$26:M$126,MATCH('Step 6 Quality Check'!C513,'Step 4 Stage Discharge'!E$26:E$126,1),9))*('Step 6 Quality Check'!C513-INDEX('Step 4 Stage Discharge'!E$26:M$126,MATCH('Step 6 Quality Check'!C513,'Step 4 Stage Discharge'!E$26:E$126,1),1))/(INDEX('Step 4 Stage Discharge'!E$26:M$126,MATCH('Step 6 Quality Check'!C513,'Step 4 Stage Discharge'!E$26:E$126,1)+1,1)-INDEX('Step 4 Stage Discharge'!E$26:M$126,MATCH('Step 6 Quality Check'!C513,'Step 4 Stage Discharge'!E$26:E$126,1),1))</f>
        <v>4.3639431710317386E-3</v>
      </c>
      <c r="F513" s="218">
        <f t="shared" si="35"/>
        <v>0</v>
      </c>
      <c r="G513" s="218">
        <f t="shared" si="36"/>
        <v>0</v>
      </c>
    </row>
    <row r="514" spans="1:7">
      <c r="A514" s="217">
        <f t="shared" si="37"/>
        <v>2490</v>
      </c>
      <c r="B514" s="216">
        <f t="shared" si="38"/>
        <v>99.1</v>
      </c>
      <c r="C514" s="218">
        <f t="shared" si="39"/>
        <v>0</v>
      </c>
      <c r="D514" s="219">
        <f>INDEX('Step 4 Stage Discharge'!E$26:F$126,MATCH(C514,'Step 4 Stage Discharge'!E$26:E$126,1),2)+(INDEX('Step 4 Stage Discharge'!E$26:F$126,MATCH(C514,'Step 4 Stage Discharge'!E$26:E$126,1)+1,2)-INDEX('Step 4 Stage Discharge'!E$26:F$126,MATCH(C514,'Step 4 Stage Discharge'!E$26:E$126,1),2))*(C514-INDEX('Step 4 Stage Discharge'!E$26:F$126,MATCH(C514,'Step 4 Stage Discharge'!E$26:E$126,1),1))/(INDEX('Step 4 Stage Discharge'!E$26:F$126,MATCH(C514,'Step 4 Stage Discharge'!E$26:E$126,1)+1,1)-INDEX('Step 4 Stage Discharge'!E$26:F$126,MATCH(C514,'Step 4 Stage Discharge'!E$26:E$126,1),1))</f>
        <v>0</v>
      </c>
      <c r="E514" s="219">
        <f>INDEX('Step 4 Stage Discharge'!E$26:M$126,MATCH(C514,'Step 4 Stage Discharge'!E$26:E$126,1),9)+(INDEX('Step 4 Stage Discharge'!E$26:M$126,MATCH('Step 6 Quality Check'!C514,'Step 4 Stage Discharge'!E$26:E$126,1)+1,9)-INDEX('Step 4 Stage Discharge'!E$26:M$126,MATCH('Step 6 Quality Check'!C514,'Step 4 Stage Discharge'!E$26:E$126,1),9))*('Step 6 Quality Check'!C514-INDEX('Step 4 Stage Discharge'!E$26:M$126,MATCH('Step 6 Quality Check'!C514,'Step 4 Stage Discharge'!E$26:E$126,1),1))/(INDEX('Step 4 Stage Discharge'!E$26:M$126,MATCH('Step 6 Quality Check'!C514,'Step 4 Stage Discharge'!E$26:E$126,1)+1,1)-INDEX('Step 4 Stage Discharge'!E$26:M$126,MATCH('Step 6 Quality Check'!C514,'Step 4 Stage Discharge'!E$26:E$126,1),1))</f>
        <v>4.3639431710317386E-3</v>
      </c>
      <c r="F514" s="218">
        <f t="shared" si="35"/>
        <v>0</v>
      </c>
      <c r="G514" s="218">
        <f t="shared" si="36"/>
        <v>0</v>
      </c>
    </row>
    <row r="515" spans="1:7">
      <c r="A515" s="217">
        <f t="shared" si="37"/>
        <v>2495</v>
      </c>
      <c r="B515" s="216">
        <f t="shared" si="38"/>
        <v>99.1</v>
      </c>
      <c r="C515" s="218">
        <f t="shared" si="39"/>
        <v>0</v>
      </c>
      <c r="D515" s="219">
        <f>INDEX('Step 4 Stage Discharge'!E$26:F$126,MATCH(C515,'Step 4 Stage Discharge'!E$26:E$126,1),2)+(INDEX('Step 4 Stage Discharge'!E$26:F$126,MATCH(C515,'Step 4 Stage Discharge'!E$26:E$126,1)+1,2)-INDEX('Step 4 Stage Discharge'!E$26:F$126,MATCH(C515,'Step 4 Stage Discharge'!E$26:E$126,1),2))*(C515-INDEX('Step 4 Stage Discharge'!E$26:F$126,MATCH(C515,'Step 4 Stage Discharge'!E$26:E$126,1),1))/(INDEX('Step 4 Stage Discharge'!E$26:F$126,MATCH(C515,'Step 4 Stage Discharge'!E$26:E$126,1)+1,1)-INDEX('Step 4 Stage Discharge'!E$26:F$126,MATCH(C515,'Step 4 Stage Discharge'!E$26:E$126,1),1))</f>
        <v>0</v>
      </c>
      <c r="E515" s="219">
        <f>INDEX('Step 4 Stage Discharge'!E$26:M$126,MATCH(C515,'Step 4 Stage Discharge'!E$26:E$126,1),9)+(INDEX('Step 4 Stage Discharge'!E$26:M$126,MATCH('Step 6 Quality Check'!C515,'Step 4 Stage Discharge'!E$26:E$126,1)+1,9)-INDEX('Step 4 Stage Discharge'!E$26:M$126,MATCH('Step 6 Quality Check'!C515,'Step 4 Stage Discharge'!E$26:E$126,1),9))*('Step 6 Quality Check'!C515-INDEX('Step 4 Stage Discharge'!E$26:M$126,MATCH('Step 6 Quality Check'!C515,'Step 4 Stage Discharge'!E$26:E$126,1),1))/(INDEX('Step 4 Stage Discharge'!E$26:M$126,MATCH('Step 6 Quality Check'!C515,'Step 4 Stage Discharge'!E$26:E$126,1)+1,1)-INDEX('Step 4 Stage Discharge'!E$26:M$126,MATCH('Step 6 Quality Check'!C515,'Step 4 Stage Discharge'!E$26:E$126,1),1))</f>
        <v>4.3639431710317386E-3</v>
      </c>
      <c r="F515" s="218">
        <f t="shared" si="35"/>
        <v>0</v>
      </c>
      <c r="G515" s="218">
        <f t="shared" si="36"/>
        <v>0</v>
      </c>
    </row>
    <row r="516" spans="1:7">
      <c r="A516" s="217">
        <f t="shared" si="37"/>
        <v>2500</v>
      </c>
      <c r="B516" s="216">
        <f t="shared" si="38"/>
        <v>99.1</v>
      </c>
      <c r="C516" s="218">
        <f t="shared" si="39"/>
        <v>0</v>
      </c>
      <c r="D516" s="219">
        <f>INDEX('Step 4 Stage Discharge'!E$26:F$126,MATCH(C516,'Step 4 Stage Discharge'!E$26:E$126,1),2)+(INDEX('Step 4 Stage Discharge'!E$26:F$126,MATCH(C516,'Step 4 Stage Discharge'!E$26:E$126,1)+1,2)-INDEX('Step 4 Stage Discharge'!E$26:F$126,MATCH(C516,'Step 4 Stage Discharge'!E$26:E$126,1),2))*(C516-INDEX('Step 4 Stage Discharge'!E$26:F$126,MATCH(C516,'Step 4 Stage Discharge'!E$26:E$126,1),1))/(INDEX('Step 4 Stage Discharge'!E$26:F$126,MATCH(C516,'Step 4 Stage Discharge'!E$26:E$126,1)+1,1)-INDEX('Step 4 Stage Discharge'!E$26:F$126,MATCH(C516,'Step 4 Stage Discharge'!E$26:E$126,1),1))</f>
        <v>0</v>
      </c>
      <c r="E516" s="219">
        <f>INDEX('Step 4 Stage Discharge'!E$26:M$126,MATCH(C516,'Step 4 Stage Discharge'!E$26:E$126,1),9)+(INDEX('Step 4 Stage Discharge'!E$26:M$126,MATCH('Step 6 Quality Check'!C516,'Step 4 Stage Discharge'!E$26:E$126,1)+1,9)-INDEX('Step 4 Stage Discharge'!E$26:M$126,MATCH('Step 6 Quality Check'!C516,'Step 4 Stage Discharge'!E$26:E$126,1),9))*('Step 6 Quality Check'!C516-INDEX('Step 4 Stage Discharge'!E$26:M$126,MATCH('Step 6 Quality Check'!C516,'Step 4 Stage Discharge'!E$26:E$126,1),1))/(INDEX('Step 4 Stage Discharge'!E$26:M$126,MATCH('Step 6 Quality Check'!C516,'Step 4 Stage Discharge'!E$26:E$126,1)+1,1)-INDEX('Step 4 Stage Discharge'!E$26:M$126,MATCH('Step 6 Quality Check'!C516,'Step 4 Stage Discharge'!E$26:E$126,1),1))</f>
        <v>4.3639431710317386E-3</v>
      </c>
      <c r="F516" s="218">
        <f t="shared" si="35"/>
        <v>0</v>
      </c>
      <c r="G516" s="218">
        <f t="shared" si="36"/>
        <v>0</v>
      </c>
    </row>
    <row r="517" spans="1:7">
      <c r="A517" s="217">
        <f t="shared" si="37"/>
        <v>2505</v>
      </c>
      <c r="B517" s="216">
        <f t="shared" si="38"/>
        <v>99.1</v>
      </c>
      <c r="C517" s="218">
        <f t="shared" si="39"/>
        <v>0</v>
      </c>
      <c r="D517" s="219">
        <f>INDEX('Step 4 Stage Discharge'!E$26:F$126,MATCH(C517,'Step 4 Stage Discharge'!E$26:E$126,1),2)+(INDEX('Step 4 Stage Discharge'!E$26:F$126,MATCH(C517,'Step 4 Stage Discharge'!E$26:E$126,1)+1,2)-INDEX('Step 4 Stage Discharge'!E$26:F$126,MATCH(C517,'Step 4 Stage Discharge'!E$26:E$126,1),2))*(C517-INDEX('Step 4 Stage Discharge'!E$26:F$126,MATCH(C517,'Step 4 Stage Discharge'!E$26:E$126,1),1))/(INDEX('Step 4 Stage Discharge'!E$26:F$126,MATCH(C517,'Step 4 Stage Discharge'!E$26:E$126,1)+1,1)-INDEX('Step 4 Stage Discharge'!E$26:F$126,MATCH(C517,'Step 4 Stage Discharge'!E$26:E$126,1),1))</f>
        <v>0</v>
      </c>
      <c r="E517" s="219">
        <f>INDEX('Step 4 Stage Discharge'!E$26:M$126,MATCH(C517,'Step 4 Stage Discharge'!E$26:E$126,1),9)+(INDEX('Step 4 Stage Discharge'!E$26:M$126,MATCH('Step 6 Quality Check'!C517,'Step 4 Stage Discharge'!E$26:E$126,1)+1,9)-INDEX('Step 4 Stage Discharge'!E$26:M$126,MATCH('Step 6 Quality Check'!C517,'Step 4 Stage Discharge'!E$26:E$126,1),9))*('Step 6 Quality Check'!C517-INDEX('Step 4 Stage Discharge'!E$26:M$126,MATCH('Step 6 Quality Check'!C517,'Step 4 Stage Discharge'!E$26:E$126,1),1))/(INDEX('Step 4 Stage Discharge'!E$26:M$126,MATCH('Step 6 Quality Check'!C517,'Step 4 Stage Discharge'!E$26:E$126,1)+1,1)-INDEX('Step 4 Stage Discharge'!E$26:M$126,MATCH('Step 6 Quality Check'!C517,'Step 4 Stage Discharge'!E$26:E$126,1),1))</f>
        <v>4.3639431710317386E-3</v>
      </c>
      <c r="F517" s="218">
        <f t="shared" si="35"/>
        <v>0</v>
      </c>
      <c r="G517" s="218">
        <f t="shared" si="36"/>
        <v>0</v>
      </c>
    </row>
    <row r="518" spans="1:7">
      <c r="A518" s="217">
        <f t="shared" si="37"/>
        <v>2510</v>
      </c>
      <c r="B518" s="216">
        <f t="shared" si="38"/>
        <v>99.1</v>
      </c>
      <c r="C518" s="218">
        <f t="shared" si="39"/>
        <v>0</v>
      </c>
      <c r="D518" s="219">
        <f>INDEX('Step 4 Stage Discharge'!E$26:F$126,MATCH(C518,'Step 4 Stage Discharge'!E$26:E$126,1),2)+(INDEX('Step 4 Stage Discharge'!E$26:F$126,MATCH(C518,'Step 4 Stage Discharge'!E$26:E$126,1)+1,2)-INDEX('Step 4 Stage Discharge'!E$26:F$126,MATCH(C518,'Step 4 Stage Discharge'!E$26:E$126,1),2))*(C518-INDEX('Step 4 Stage Discharge'!E$26:F$126,MATCH(C518,'Step 4 Stage Discharge'!E$26:E$126,1),1))/(INDEX('Step 4 Stage Discharge'!E$26:F$126,MATCH(C518,'Step 4 Stage Discharge'!E$26:E$126,1)+1,1)-INDEX('Step 4 Stage Discharge'!E$26:F$126,MATCH(C518,'Step 4 Stage Discharge'!E$26:E$126,1),1))</f>
        <v>0</v>
      </c>
      <c r="E518" s="219">
        <f>INDEX('Step 4 Stage Discharge'!E$26:M$126,MATCH(C518,'Step 4 Stage Discharge'!E$26:E$126,1),9)+(INDEX('Step 4 Stage Discharge'!E$26:M$126,MATCH('Step 6 Quality Check'!C518,'Step 4 Stage Discharge'!E$26:E$126,1)+1,9)-INDEX('Step 4 Stage Discharge'!E$26:M$126,MATCH('Step 6 Quality Check'!C518,'Step 4 Stage Discharge'!E$26:E$126,1),9))*('Step 6 Quality Check'!C518-INDEX('Step 4 Stage Discharge'!E$26:M$126,MATCH('Step 6 Quality Check'!C518,'Step 4 Stage Discharge'!E$26:E$126,1),1))/(INDEX('Step 4 Stage Discharge'!E$26:M$126,MATCH('Step 6 Quality Check'!C518,'Step 4 Stage Discharge'!E$26:E$126,1)+1,1)-INDEX('Step 4 Stage Discharge'!E$26:M$126,MATCH('Step 6 Quality Check'!C518,'Step 4 Stage Discharge'!E$26:E$126,1),1))</f>
        <v>4.3639431710317386E-3</v>
      </c>
      <c r="F518" s="218">
        <f t="shared" si="35"/>
        <v>0</v>
      </c>
      <c r="G518" s="218">
        <f t="shared" si="36"/>
        <v>0</v>
      </c>
    </row>
    <row r="519" spans="1:7">
      <c r="A519" s="217">
        <f t="shared" si="37"/>
        <v>2515</v>
      </c>
      <c r="B519" s="216">
        <f t="shared" si="38"/>
        <v>99.1</v>
      </c>
      <c r="C519" s="218">
        <f t="shared" si="39"/>
        <v>0</v>
      </c>
      <c r="D519" s="219">
        <f>INDEX('Step 4 Stage Discharge'!E$26:F$126,MATCH(C519,'Step 4 Stage Discharge'!E$26:E$126,1),2)+(INDEX('Step 4 Stage Discharge'!E$26:F$126,MATCH(C519,'Step 4 Stage Discharge'!E$26:E$126,1)+1,2)-INDEX('Step 4 Stage Discharge'!E$26:F$126,MATCH(C519,'Step 4 Stage Discharge'!E$26:E$126,1),2))*(C519-INDEX('Step 4 Stage Discharge'!E$26:F$126,MATCH(C519,'Step 4 Stage Discharge'!E$26:E$126,1),1))/(INDEX('Step 4 Stage Discharge'!E$26:F$126,MATCH(C519,'Step 4 Stage Discharge'!E$26:E$126,1)+1,1)-INDEX('Step 4 Stage Discharge'!E$26:F$126,MATCH(C519,'Step 4 Stage Discharge'!E$26:E$126,1),1))</f>
        <v>0</v>
      </c>
      <c r="E519" s="219">
        <f>INDEX('Step 4 Stage Discharge'!E$26:M$126,MATCH(C519,'Step 4 Stage Discharge'!E$26:E$126,1),9)+(INDEX('Step 4 Stage Discharge'!E$26:M$126,MATCH('Step 6 Quality Check'!C519,'Step 4 Stage Discharge'!E$26:E$126,1)+1,9)-INDEX('Step 4 Stage Discharge'!E$26:M$126,MATCH('Step 6 Quality Check'!C519,'Step 4 Stage Discharge'!E$26:E$126,1),9))*('Step 6 Quality Check'!C519-INDEX('Step 4 Stage Discharge'!E$26:M$126,MATCH('Step 6 Quality Check'!C519,'Step 4 Stage Discharge'!E$26:E$126,1),1))/(INDEX('Step 4 Stage Discharge'!E$26:M$126,MATCH('Step 6 Quality Check'!C519,'Step 4 Stage Discharge'!E$26:E$126,1)+1,1)-INDEX('Step 4 Stage Discharge'!E$26:M$126,MATCH('Step 6 Quality Check'!C519,'Step 4 Stage Discharge'!E$26:E$126,1),1))</f>
        <v>4.3639431710317386E-3</v>
      </c>
      <c r="F519" s="218">
        <f t="shared" si="35"/>
        <v>0</v>
      </c>
      <c r="G519" s="218">
        <f t="shared" si="36"/>
        <v>0</v>
      </c>
    </row>
    <row r="520" spans="1:7">
      <c r="A520" s="217">
        <f t="shared" si="37"/>
        <v>2520</v>
      </c>
      <c r="B520" s="216">
        <f t="shared" si="38"/>
        <v>99.1</v>
      </c>
      <c r="C520" s="218">
        <f t="shared" si="39"/>
        <v>0</v>
      </c>
      <c r="D520" s="219">
        <f>INDEX('Step 4 Stage Discharge'!E$26:F$126,MATCH(C520,'Step 4 Stage Discharge'!E$26:E$126,1),2)+(INDEX('Step 4 Stage Discharge'!E$26:F$126,MATCH(C520,'Step 4 Stage Discharge'!E$26:E$126,1)+1,2)-INDEX('Step 4 Stage Discharge'!E$26:F$126,MATCH(C520,'Step 4 Stage Discharge'!E$26:E$126,1),2))*(C520-INDEX('Step 4 Stage Discharge'!E$26:F$126,MATCH(C520,'Step 4 Stage Discharge'!E$26:E$126,1),1))/(INDEX('Step 4 Stage Discharge'!E$26:F$126,MATCH(C520,'Step 4 Stage Discharge'!E$26:E$126,1)+1,1)-INDEX('Step 4 Stage Discharge'!E$26:F$126,MATCH(C520,'Step 4 Stage Discharge'!E$26:E$126,1),1))</f>
        <v>0</v>
      </c>
      <c r="E520" s="219">
        <f>INDEX('Step 4 Stage Discharge'!E$26:M$126,MATCH(C520,'Step 4 Stage Discharge'!E$26:E$126,1),9)+(INDEX('Step 4 Stage Discharge'!E$26:M$126,MATCH('Step 6 Quality Check'!C520,'Step 4 Stage Discharge'!E$26:E$126,1)+1,9)-INDEX('Step 4 Stage Discharge'!E$26:M$126,MATCH('Step 6 Quality Check'!C520,'Step 4 Stage Discharge'!E$26:E$126,1),9))*('Step 6 Quality Check'!C520-INDEX('Step 4 Stage Discharge'!E$26:M$126,MATCH('Step 6 Quality Check'!C520,'Step 4 Stage Discharge'!E$26:E$126,1),1))/(INDEX('Step 4 Stage Discharge'!E$26:M$126,MATCH('Step 6 Quality Check'!C520,'Step 4 Stage Discharge'!E$26:E$126,1)+1,1)-INDEX('Step 4 Stage Discharge'!E$26:M$126,MATCH('Step 6 Quality Check'!C520,'Step 4 Stage Discharge'!E$26:E$126,1),1))</f>
        <v>4.3639431710317386E-3</v>
      </c>
      <c r="F520" s="218">
        <f t="shared" si="35"/>
        <v>0</v>
      </c>
      <c r="G520" s="218">
        <f t="shared" si="36"/>
        <v>0</v>
      </c>
    </row>
    <row r="521" spans="1:7">
      <c r="A521" s="217">
        <f t="shared" si="37"/>
        <v>2525</v>
      </c>
      <c r="B521" s="216">
        <f t="shared" si="38"/>
        <v>99.1</v>
      </c>
      <c r="C521" s="218">
        <f t="shared" si="39"/>
        <v>0</v>
      </c>
      <c r="D521" s="219">
        <f>INDEX('Step 4 Stage Discharge'!E$26:F$126,MATCH(C521,'Step 4 Stage Discharge'!E$26:E$126,1),2)+(INDEX('Step 4 Stage Discharge'!E$26:F$126,MATCH(C521,'Step 4 Stage Discharge'!E$26:E$126,1)+1,2)-INDEX('Step 4 Stage Discharge'!E$26:F$126,MATCH(C521,'Step 4 Stage Discharge'!E$26:E$126,1),2))*(C521-INDEX('Step 4 Stage Discharge'!E$26:F$126,MATCH(C521,'Step 4 Stage Discharge'!E$26:E$126,1),1))/(INDEX('Step 4 Stage Discharge'!E$26:F$126,MATCH(C521,'Step 4 Stage Discharge'!E$26:E$126,1)+1,1)-INDEX('Step 4 Stage Discharge'!E$26:F$126,MATCH(C521,'Step 4 Stage Discharge'!E$26:E$126,1),1))</f>
        <v>0</v>
      </c>
      <c r="E521" s="219">
        <f>INDEX('Step 4 Stage Discharge'!E$26:M$126,MATCH(C521,'Step 4 Stage Discharge'!E$26:E$126,1),9)+(INDEX('Step 4 Stage Discharge'!E$26:M$126,MATCH('Step 6 Quality Check'!C521,'Step 4 Stage Discharge'!E$26:E$126,1)+1,9)-INDEX('Step 4 Stage Discharge'!E$26:M$126,MATCH('Step 6 Quality Check'!C521,'Step 4 Stage Discharge'!E$26:E$126,1),9))*('Step 6 Quality Check'!C521-INDEX('Step 4 Stage Discharge'!E$26:M$126,MATCH('Step 6 Quality Check'!C521,'Step 4 Stage Discharge'!E$26:E$126,1),1))/(INDEX('Step 4 Stage Discharge'!E$26:M$126,MATCH('Step 6 Quality Check'!C521,'Step 4 Stage Discharge'!E$26:E$126,1)+1,1)-INDEX('Step 4 Stage Discharge'!E$26:M$126,MATCH('Step 6 Quality Check'!C521,'Step 4 Stage Discharge'!E$26:E$126,1),1))</f>
        <v>4.3639431710317386E-3</v>
      </c>
      <c r="F521" s="218">
        <f t="shared" si="35"/>
        <v>0</v>
      </c>
      <c r="G521" s="218">
        <f t="shared" si="36"/>
        <v>0</v>
      </c>
    </row>
    <row r="522" spans="1:7">
      <c r="A522" s="217">
        <f t="shared" si="37"/>
        <v>2530</v>
      </c>
      <c r="B522" s="216">
        <f t="shared" si="38"/>
        <v>99.1</v>
      </c>
      <c r="C522" s="218">
        <f t="shared" si="39"/>
        <v>0</v>
      </c>
      <c r="D522" s="219">
        <f>INDEX('Step 4 Stage Discharge'!E$26:F$126,MATCH(C522,'Step 4 Stage Discharge'!E$26:E$126,1),2)+(INDEX('Step 4 Stage Discharge'!E$26:F$126,MATCH(C522,'Step 4 Stage Discharge'!E$26:E$126,1)+1,2)-INDEX('Step 4 Stage Discharge'!E$26:F$126,MATCH(C522,'Step 4 Stage Discharge'!E$26:E$126,1),2))*(C522-INDEX('Step 4 Stage Discharge'!E$26:F$126,MATCH(C522,'Step 4 Stage Discharge'!E$26:E$126,1),1))/(INDEX('Step 4 Stage Discharge'!E$26:F$126,MATCH(C522,'Step 4 Stage Discharge'!E$26:E$126,1)+1,1)-INDEX('Step 4 Stage Discharge'!E$26:F$126,MATCH(C522,'Step 4 Stage Discharge'!E$26:E$126,1),1))</f>
        <v>0</v>
      </c>
      <c r="E522" s="219">
        <f>INDEX('Step 4 Stage Discharge'!E$26:M$126,MATCH(C522,'Step 4 Stage Discharge'!E$26:E$126,1),9)+(INDEX('Step 4 Stage Discharge'!E$26:M$126,MATCH('Step 6 Quality Check'!C522,'Step 4 Stage Discharge'!E$26:E$126,1)+1,9)-INDEX('Step 4 Stage Discharge'!E$26:M$126,MATCH('Step 6 Quality Check'!C522,'Step 4 Stage Discharge'!E$26:E$126,1),9))*('Step 6 Quality Check'!C522-INDEX('Step 4 Stage Discharge'!E$26:M$126,MATCH('Step 6 Quality Check'!C522,'Step 4 Stage Discharge'!E$26:E$126,1),1))/(INDEX('Step 4 Stage Discharge'!E$26:M$126,MATCH('Step 6 Quality Check'!C522,'Step 4 Stage Discharge'!E$26:E$126,1)+1,1)-INDEX('Step 4 Stage Discharge'!E$26:M$126,MATCH('Step 6 Quality Check'!C522,'Step 4 Stage Discharge'!E$26:E$126,1),1))</f>
        <v>4.3639431710317386E-3</v>
      </c>
      <c r="F522" s="218">
        <f t="shared" si="35"/>
        <v>0</v>
      </c>
      <c r="G522" s="218">
        <f t="shared" si="36"/>
        <v>0</v>
      </c>
    </row>
    <row r="523" spans="1:7">
      <c r="A523" s="217">
        <f t="shared" si="37"/>
        <v>2535</v>
      </c>
      <c r="B523" s="216">
        <f t="shared" si="38"/>
        <v>99.1</v>
      </c>
      <c r="C523" s="218">
        <f t="shared" si="39"/>
        <v>0</v>
      </c>
      <c r="D523" s="219">
        <f>INDEX('Step 4 Stage Discharge'!E$26:F$126,MATCH(C523,'Step 4 Stage Discharge'!E$26:E$126,1),2)+(INDEX('Step 4 Stage Discharge'!E$26:F$126,MATCH(C523,'Step 4 Stage Discharge'!E$26:E$126,1)+1,2)-INDEX('Step 4 Stage Discharge'!E$26:F$126,MATCH(C523,'Step 4 Stage Discharge'!E$26:E$126,1),2))*(C523-INDEX('Step 4 Stage Discharge'!E$26:F$126,MATCH(C523,'Step 4 Stage Discharge'!E$26:E$126,1),1))/(INDEX('Step 4 Stage Discharge'!E$26:F$126,MATCH(C523,'Step 4 Stage Discharge'!E$26:E$126,1)+1,1)-INDEX('Step 4 Stage Discharge'!E$26:F$126,MATCH(C523,'Step 4 Stage Discharge'!E$26:E$126,1),1))</f>
        <v>0</v>
      </c>
      <c r="E523" s="219">
        <f>INDEX('Step 4 Stage Discharge'!E$26:M$126,MATCH(C523,'Step 4 Stage Discharge'!E$26:E$126,1),9)+(INDEX('Step 4 Stage Discharge'!E$26:M$126,MATCH('Step 6 Quality Check'!C523,'Step 4 Stage Discharge'!E$26:E$126,1)+1,9)-INDEX('Step 4 Stage Discharge'!E$26:M$126,MATCH('Step 6 Quality Check'!C523,'Step 4 Stage Discharge'!E$26:E$126,1),9))*('Step 6 Quality Check'!C523-INDEX('Step 4 Stage Discharge'!E$26:M$126,MATCH('Step 6 Quality Check'!C523,'Step 4 Stage Discharge'!E$26:E$126,1),1))/(INDEX('Step 4 Stage Discharge'!E$26:M$126,MATCH('Step 6 Quality Check'!C523,'Step 4 Stage Discharge'!E$26:E$126,1)+1,1)-INDEX('Step 4 Stage Discharge'!E$26:M$126,MATCH('Step 6 Quality Check'!C523,'Step 4 Stage Discharge'!E$26:E$126,1),1))</f>
        <v>4.3639431710317386E-3</v>
      </c>
      <c r="F523" s="218">
        <f t="shared" si="35"/>
        <v>0</v>
      </c>
      <c r="G523" s="218">
        <f t="shared" si="36"/>
        <v>0</v>
      </c>
    </row>
    <row r="524" spans="1:7">
      <c r="A524" s="217">
        <f t="shared" si="37"/>
        <v>2540</v>
      </c>
      <c r="B524" s="216">
        <f t="shared" si="38"/>
        <v>99.1</v>
      </c>
      <c r="C524" s="218">
        <f t="shared" si="39"/>
        <v>0</v>
      </c>
      <c r="D524" s="219">
        <f>INDEX('Step 4 Stage Discharge'!E$26:F$126,MATCH(C524,'Step 4 Stage Discharge'!E$26:E$126,1),2)+(INDEX('Step 4 Stage Discharge'!E$26:F$126,MATCH(C524,'Step 4 Stage Discharge'!E$26:E$126,1)+1,2)-INDEX('Step 4 Stage Discharge'!E$26:F$126,MATCH(C524,'Step 4 Stage Discharge'!E$26:E$126,1),2))*(C524-INDEX('Step 4 Stage Discharge'!E$26:F$126,MATCH(C524,'Step 4 Stage Discharge'!E$26:E$126,1),1))/(INDEX('Step 4 Stage Discharge'!E$26:F$126,MATCH(C524,'Step 4 Stage Discharge'!E$26:E$126,1)+1,1)-INDEX('Step 4 Stage Discharge'!E$26:F$126,MATCH(C524,'Step 4 Stage Discharge'!E$26:E$126,1),1))</f>
        <v>0</v>
      </c>
      <c r="E524" s="219">
        <f>INDEX('Step 4 Stage Discharge'!E$26:M$126,MATCH(C524,'Step 4 Stage Discharge'!E$26:E$126,1),9)+(INDEX('Step 4 Stage Discharge'!E$26:M$126,MATCH('Step 6 Quality Check'!C524,'Step 4 Stage Discharge'!E$26:E$126,1)+1,9)-INDEX('Step 4 Stage Discharge'!E$26:M$126,MATCH('Step 6 Quality Check'!C524,'Step 4 Stage Discharge'!E$26:E$126,1),9))*('Step 6 Quality Check'!C524-INDEX('Step 4 Stage Discharge'!E$26:M$126,MATCH('Step 6 Quality Check'!C524,'Step 4 Stage Discharge'!E$26:E$126,1),1))/(INDEX('Step 4 Stage Discharge'!E$26:M$126,MATCH('Step 6 Quality Check'!C524,'Step 4 Stage Discharge'!E$26:E$126,1)+1,1)-INDEX('Step 4 Stage Discharge'!E$26:M$126,MATCH('Step 6 Quality Check'!C524,'Step 4 Stage Discharge'!E$26:E$126,1),1))</f>
        <v>4.3639431710317386E-3</v>
      </c>
      <c r="F524" s="218">
        <f t="shared" si="35"/>
        <v>0</v>
      </c>
      <c r="G524" s="218">
        <f t="shared" si="36"/>
        <v>0</v>
      </c>
    </row>
    <row r="525" spans="1:7">
      <c r="A525" s="217">
        <f t="shared" si="37"/>
        <v>2545</v>
      </c>
      <c r="B525" s="216">
        <f t="shared" si="38"/>
        <v>99.1</v>
      </c>
      <c r="C525" s="218">
        <f t="shared" si="39"/>
        <v>0</v>
      </c>
      <c r="D525" s="219">
        <f>INDEX('Step 4 Stage Discharge'!E$26:F$126,MATCH(C525,'Step 4 Stage Discharge'!E$26:E$126,1),2)+(INDEX('Step 4 Stage Discharge'!E$26:F$126,MATCH(C525,'Step 4 Stage Discharge'!E$26:E$126,1)+1,2)-INDEX('Step 4 Stage Discharge'!E$26:F$126,MATCH(C525,'Step 4 Stage Discharge'!E$26:E$126,1),2))*(C525-INDEX('Step 4 Stage Discharge'!E$26:F$126,MATCH(C525,'Step 4 Stage Discharge'!E$26:E$126,1),1))/(INDEX('Step 4 Stage Discharge'!E$26:F$126,MATCH(C525,'Step 4 Stage Discharge'!E$26:E$126,1)+1,1)-INDEX('Step 4 Stage Discharge'!E$26:F$126,MATCH(C525,'Step 4 Stage Discharge'!E$26:E$126,1),1))</f>
        <v>0</v>
      </c>
      <c r="E525" s="219">
        <f>INDEX('Step 4 Stage Discharge'!E$26:M$126,MATCH(C525,'Step 4 Stage Discharge'!E$26:E$126,1),9)+(INDEX('Step 4 Stage Discharge'!E$26:M$126,MATCH('Step 6 Quality Check'!C525,'Step 4 Stage Discharge'!E$26:E$126,1)+1,9)-INDEX('Step 4 Stage Discharge'!E$26:M$126,MATCH('Step 6 Quality Check'!C525,'Step 4 Stage Discharge'!E$26:E$126,1),9))*('Step 6 Quality Check'!C525-INDEX('Step 4 Stage Discharge'!E$26:M$126,MATCH('Step 6 Quality Check'!C525,'Step 4 Stage Discharge'!E$26:E$126,1),1))/(INDEX('Step 4 Stage Discharge'!E$26:M$126,MATCH('Step 6 Quality Check'!C525,'Step 4 Stage Discharge'!E$26:E$126,1)+1,1)-INDEX('Step 4 Stage Discharge'!E$26:M$126,MATCH('Step 6 Quality Check'!C525,'Step 4 Stage Discharge'!E$26:E$126,1),1))</f>
        <v>4.3639431710317386E-3</v>
      </c>
      <c r="F525" s="218">
        <f t="shared" si="35"/>
        <v>0</v>
      </c>
      <c r="G525" s="218">
        <f t="shared" si="36"/>
        <v>0</v>
      </c>
    </row>
    <row r="526" spans="1:7">
      <c r="A526" s="217">
        <f t="shared" si="37"/>
        <v>2550</v>
      </c>
      <c r="B526" s="216">
        <f t="shared" si="38"/>
        <v>99.1</v>
      </c>
      <c r="C526" s="218">
        <f t="shared" si="39"/>
        <v>0</v>
      </c>
      <c r="D526" s="219">
        <f>INDEX('Step 4 Stage Discharge'!E$26:F$126,MATCH(C526,'Step 4 Stage Discharge'!E$26:E$126,1),2)+(INDEX('Step 4 Stage Discharge'!E$26:F$126,MATCH(C526,'Step 4 Stage Discharge'!E$26:E$126,1)+1,2)-INDEX('Step 4 Stage Discharge'!E$26:F$126,MATCH(C526,'Step 4 Stage Discharge'!E$26:E$126,1),2))*(C526-INDEX('Step 4 Stage Discharge'!E$26:F$126,MATCH(C526,'Step 4 Stage Discharge'!E$26:E$126,1),1))/(INDEX('Step 4 Stage Discharge'!E$26:F$126,MATCH(C526,'Step 4 Stage Discharge'!E$26:E$126,1)+1,1)-INDEX('Step 4 Stage Discharge'!E$26:F$126,MATCH(C526,'Step 4 Stage Discharge'!E$26:E$126,1),1))</f>
        <v>0</v>
      </c>
      <c r="E526" s="219">
        <f>INDEX('Step 4 Stage Discharge'!E$26:M$126,MATCH(C526,'Step 4 Stage Discharge'!E$26:E$126,1),9)+(INDEX('Step 4 Stage Discharge'!E$26:M$126,MATCH('Step 6 Quality Check'!C526,'Step 4 Stage Discharge'!E$26:E$126,1)+1,9)-INDEX('Step 4 Stage Discharge'!E$26:M$126,MATCH('Step 6 Quality Check'!C526,'Step 4 Stage Discharge'!E$26:E$126,1),9))*('Step 6 Quality Check'!C526-INDEX('Step 4 Stage Discharge'!E$26:M$126,MATCH('Step 6 Quality Check'!C526,'Step 4 Stage Discharge'!E$26:E$126,1),1))/(INDEX('Step 4 Stage Discharge'!E$26:M$126,MATCH('Step 6 Quality Check'!C526,'Step 4 Stage Discharge'!E$26:E$126,1)+1,1)-INDEX('Step 4 Stage Discharge'!E$26:M$126,MATCH('Step 6 Quality Check'!C526,'Step 4 Stage Discharge'!E$26:E$126,1),1))</f>
        <v>4.3639431710317386E-3</v>
      </c>
      <c r="F526" s="218">
        <f t="shared" si="35"/>
        <v>0</v>
      </c>
      <c r="G526" s="218">
        <f t="shared" si="36"/>
        <v>0</v>
      </c>
    </row>
    <row r="527" spans="1:7">
      <c r="A527" s="217">
        <f t="shared" si="37"/>
        <v>2555</v>
      </c>
      <c r="B527" s="216">
        <f t="shared" si="38"/>
        <v>99.1</v>
      </c>
      <c r="C527" s="218">
        <f t="shared" si="39"/>
        <v>0</v>
      </c>
      <c r="D527" s="219">
        <f>INDEX('Step 4 Stage Discharge'!E$26:F$126,MATCH(C527,'Step 4 Stage Discharge'!E$26:E$126,1),2)+(INDEX('Step 4 Stage Discharge'!E$26:F$126,MATCH(C527,'Step 4 Stage Discharge'!E$26:E$126,1)+1,2)-INDEX('Step 4 Stage Discharge'!E$26:F$126,MATCH(C527,'Step 4 Stage Discharge'!E$26:E$126,1),2))*(C527-INDEX('Step 4 Stage Discharge'!E$26:F$126,MATCH(C527,'Step 4 Stage Discharge'!E$26:E$126,1),1))/(INDEX('Step 4 Stage Discharge'!E$26:F$126,MATCH(C527,'Step 4 Stage Discharge'!E$26:E$126,1)+1,1)-INDEX('Step 4 Stage Discharge'!E$26:F$126,MATCH(C527,'Step 4 Stage Discharge'!E$26:E$126,1),1))</f>
        <v>0</v>
      </c>
      <c r="E527" s="219">
        <f>INDEX('Step 4 Stage Discharge'!E$26:M$126,MATCH(C527,'Step 4 Stage Discharge'!E$26:E$126,1),9)+(INDEX('Step 4 Stage Discharge'!E$26:M$126,MATCH('Step 6 Quality Check'!C527,'Step 4 Stage Discharge'!E$26:E$126,1)+1,9)-INDEX('Step 4 Stage Discharge'!E$26:M$126,MATCH('Step 6 Quality Check'!C527,'Step 4 Stage Discharge'!E$26:E$126,1),9))*('Step 6 Quality Check'!C527-INDEX('Step 4 Stage Discharge'!E$26:M$126,MATCH('Step 6 Quality Check'!C527,'Step 4 Stage Discharge'!E$26:E$126,1),1))/(INDEX('Step 4 Stage Discharge'!E$26:M$126,MATCH('Step 6 Quality Check'!C527,'Step 4 Stage Discharge'!E$26:E$126,1)+1,1)-INDEX('Step 4 Stage Discharge'!E$26:M$126,MATCH('Step 6 Quality Check'!C527,'Step 4 Stage Discharge'!E$26:E$126,1),1))</f>
        <v>4.3639431710317386E-3</v>
      </c>
      <c r="F527" s="218">
        <f t="shared" si="35"/>
        <v>0</v>
      </c>
      <c r="G527" s="218">
        <f t="shared" si="36"/>
        <v>0</v>
      </c>
    </row>
    <row r="528" spans="1:7">
      <c r="A528" s="217">
        <f t="shared" si="37"/>
        <v>2560</v>
      </c>
      <c r="B528" s="216">
        <f t="shared" si="38"/>
        <v>99.1</v>
      </c>
      <c r="C528" s="218">
        <f t="shared" si="39"/>
        <v>0</v>
      </c>
      <c r="D528" s="219">
        <f>INDEX('Step 4 Stage Discharge'!E$26:F$126,MATCH(C528,'Step 4 Stage Discharge'!E$26:E$126,1),2)+(INDEX('Step 4 Stage Discharge'!E$26:F$126,MATCH(C528,'Step 4 Stage Discharge'!E$26:E$126,1)+1,2)-INDEX('Step 4 Stage Discharge'!E$26:F$126,MATCH(C528,'Step 4 Stage Discharge'!E$26:E$126,1),2))*(C528-INDEX('Step 4 Stage Discharge'!E$26:F$126,MATCH(C528,'Step 4 Stage Discharge'!E$26:E$126,1),1))/(INDEX('Step 4 Stage Discharge'!E$26:F$126,MATCH(C528,'Step 4 Stage Discharge'!E$26:E$126,1)+1,1)-INDEX('Step 4 Stage Discharge'!E$26:F$126,MATCH(C528,'Step 4 Stage Discharge'!E$26:E$126,1),1))</f>
        <v>0</v>
      </c>
      <c r="E528" s="219">
        <f>INDEX('Step 4 Stage Discharge'!E$26:M$126,MATCH(C528,'Step 4 Stage Discharge'!E$26:E$126,1),9)+(INDEX('Step 4 Stage Discharge'!E$26:M$126,MATCH('Step 6 Quality Check'!C528,'Step 4 Stage Discharge'!E$26:E$126,1)+1,9)-INDEX('Step 4 Stage Discharge'!E$26:M$126,MATCH('Step 6 Quality Check'!C528,'Step 4 Stage Discharge'!E$26:E$126,1),9))*('Step 6 Quality Check'!C528-INDEX('Step 4 Stage Discharge'!E$26:M$126,MATCH('Step 6 Quality Check'!C528,'Step 4 Stage Discharge'!E$26:E$126,1),1))/(INDEX('Step 4 Stage Discharge'!E$26:M$126,MATCH('Step 6 Quality Check'!C528,'Step 4 Stage Discharge'!E$26:E$126,1)+1,1)-INDEX('Step 4 Stage Discharge'!E$26:M$126,MATCH('Step 6 Quality Check'!C528,'Step 4 Stage Discharge'!E$26:E$126,1),1))</f>
        <v>4.3639431710317386E-3</v>
      </c>
      <c r="F528" s="218">
        <f t="shared" ref="F528:F591" si="40">IF(E528*60*C$9&gt;C528,C528,E528*60*C$9)</f>
        <v>0</v>
      </c>
      <c r="G528" s="218">
        <f t="shared" ref="G528:G591" si="41">IF(C528-F528&lt;0,0,C528-F528)</f>
        <v>0</v>
      </c>
    </row>
    <row r="529" spans="1:7">
      <c r="A529" s="217">
        <f t="shared" ref="A529:A592" si="42">+A528+C$9</f>
        <v>2565</v>
      </c>
      <c r="B529" s="216">
        <f t="shared" si="38"/>
        <v>99.1</v>
      </c>
      <c r="C529" s="218">
        <f t="shared" si="39"/>
        <v>0</v>
      </c>
      <c r="D529" s="219">
        <f>INDEX('Step 4 Stage Discharge'!E$26:F$126,MATCH(C529,'Step 4 Stage Discharge'!E$26:E$126,1),2)+(INDEX('Step 4 Stage Discharge'!E$26:F$126,MATCH(C529,'Step 4 Stage Discharge'!E$26:E$126,1)+1,2)-INDEX('Step 4 Stage Discharge'!E$26:F$126,MATCH(C529,'Step 4 Stage Discharge'!E$26:E$126,1),2))*(C529-INDEX('Step 4 Stage Discharge'!E$26:F$126,MATCH(C529,'Step 4 Stage Discharge'!E$26:E$126,1),1))/(INDEX('Step 4 Stage Discharge'!E$26:F$126,MATCH(C529,'Step 4 Stage Discharge'!E$26:E$126,1)+1,1)-INDEX('Step 4 Stage Discharge'!E$26:F$126,MATCH(C529,'Step 4 Stage Discharge'!E$26:E$126,1),1))</f>
        <v>0</v>
      </c>
      <c r="E529" s="219">
        <f>INDEX('Step 4 Stage Discharge'!E$26:M$126,MATCH(C529,'Step 4 Stage Discharge'!E$26:E$126,1),9)+(INDEX('Step 4 Stage Discharge'!E$26:M$126,MATCH('Step 6 Quality Check'!C529,'Step 4 Stage Discharge'!E$26:E$126,1)+1,9)-INDEX('Step 4 Stage Discharge'!E$26:M$126,MATCH('Step 6 Quality Check'!C529,'Step 4 Stage Discharge'!E$26:E$126,1),9))*('Step 6 Quality Check'!C529-INDEX('Step 4 Stage Discharge'!E$26:M$126,MATCH('Step 6 Quality Check'!C529,'Step 4 Stage Discharge'!E$26:E$126,1),1))/(INDEX('Step 4 Stage Discharge'!E$26:M$126,MATCH('Step 6 Quality Check'!C529,'Step 4 Stage Discharge'!E$26:E$126,1)+1,1)-INDEX('Step 4 Stage Discharge'!E$26:M$126,MATCH('Step 6 Quality Check'!C529,'Step 4 Stage Discharge'!E$26:E$126,1),1))</f>
        <v>4.3639431710317386E-3</v>
      </c>
      <c r="F529" s="218">
        <f t="shared" si="40"/>
        <v>0</v>
      </c>
      <c r="G529" s="218">
        <f t="shared" si="41"/>
        <v>0</v>
      </c>
    </row>
    <row r="530" spans="1:7">
      <c r="A530" s="217">
        <f t="shared" si="42"/>
        <v>2570</v>
      </c>
      <c r="B530" s="216">
        <f t="shared" ref="B530:B593" si="43">C$6+D530</f>
        <v>99.1</v>
      </c>
      <c r="C530" s="218">
        <f t="shared" ref="C530:C593" si="44">+G529</f>
        <v>0</v>
      </c>
      <c r="D530" s="219">
        <f>INDEX('Step 4 Stage Discharge'!E$26:F$126,MATCH(C530,'Step 4 Stage Discharge'!E$26:E$126,1),2)+(INDEX('Step 4 Stage Discharge'!E$26:F$126,MATCH(C530,'Step 4 Stage Discharge'!E$26:E$126,1)+1,2)-INDEX('Step 4 Stage Discharge'!E$26:F$126,MATCH(C530,'Step 4 Stage Discharge'!E$26:E$126,1),2))*(C530-INDEX('Step 4 Stage Discharge'!E$26:F$126,MATCH(C530,'Step 4 Stage Discharge'!E$26:E$126,1),1))/(INDEX('Step 4 Stage Discharge'!E$26:F$126,MATCH(C530,'Step 4 Stage Discharge'!E$26:E$126,1)+1,1)-INDEX('Step 4 Stage Discharge'!E$26:F$126,MATCH(C530,'Step 4 Stage Discharge'!E$26:E$126,1),1))</f>
        <v>0</v>
      </c>
      <c r="E530" s="219">
        <f>INDEX('Step 4 Stage Discharge'!E$26:M$126,MATCH(C530,'Step 4 Stage Discharge'!E$26:E$126,1),9)+(INDEX('Step 4 Stage Discharge'!E$26:M$126,MATCH('Step 6 Quality Check'!C530,'Step 4 Stage Discharge'!E$26:E$126,1)+1,9)-INDEX('Step 4 Stage Discharge'!E$26:M$126,MATCH('Step 6 Quality Check'!C530,'Step 4 Stage Discharge'!E$26:E$126,1),9))*('Step 6 Quality Check'!C530-INDEX('Step 4 Stage Discharge'!E$26:M$126,MATCH('Step 6 Quality Check'!C530,'Step 4 Stage Discharge'!E$26:E$126,1),1))/(INDEX('Step 4 Stage Discharge'!E$26:M$126,MATCH('Step 6 Quality Check'!C530,'Step 4 Stage Discharge'!E$26:E$126,1)+1,1)-INDEX('Step 4 Stage Discharge'!E$26:M$126,MATCH('Step 6 Quality Check'!C530,'Step 4 Stage Discharge'!E$26:E$126,1),1))</f>
        <v>4.3639431710317386E-3</v>
      </c>
      <c r="F530" s="218">
        <f t="shared" si="40"/>
        <v>0</v>
      </c>
      <c r="G530" s="218">
        <f t="shared" si="41"/>
        <v>0</v>
      </c>
    </row>
    <row r="531" spans="1:7">
      <c r="A531" s="217">
        <f t="shared" si="42"/>
        <v>2575</v>
      </c>
      <c r="B531" s="216">
        <f t="shared" si="43"/>
        <v>99.1</v>
      </c>
      <c r="C531" s="218">
        <f t="shared" si="44"/>
        <v>0</v>
      </c>
      <c r="D531" s="219">
        <f>INDEX('Step 4 Stage Discharge'!E$26:F$126,MATCH(C531,'Step 4 Stage Discharge'!E$26:E$126,1),2)+(INDEX('Step 4 Stage Discharge'!E$26:F$126,MATCH(C531,'Step 4 Stage Discharge'!E$26:E$126,1)+1,2)-INDEX('Step 4 Stage Discharge'!E$26:F$126,MATCH(C531,'Step 4 Stage Discharge'!E$26:E$126,1),2))*(C531-INDEX('Step 4 Stage Discharge'!E$26:F$126,MATCH(C531,'Step 4 Stage Discharge'!E$26:E$126,1),1))/(INDEX('Step 4 Stage Discharge'!E$26:F$126,MATCH(C531,'Step 4 Stage Discharge'!E$26:E$126,1)+1,1)-INDEX('Step 4 Stage Discharge'!E$26:F$126,MATCH(C531,'Step 4 Stage Discharge'!E$26:E$126,1),1))</f>
        <v>0</v>
      </c>
      <c r="E531" s="219">
        <f>INDEX('Step 4 Stage Discharge'!E$26:M$126,MATCH(C531,'Step 4 Stage Discharge'!E$26:E$126,1),9)+(INDEX('Step 4 Stage Discharge'!E$26:M$126,MATCH('Step 6 Quality Check'!C531,'Step 4 Stage Discharge'!E$26:E$126,1)+1,9)-INDEX('Step 4 Stage Discharge'!E$26:M$126,MATCH('Step 6 Quality Check'!C531,'Step 4 Stage Discharge'!E$26:E$126,1),9))*('Step 6 Quality Check'!C531-INDEX('Step 4 Stage Discharge'!E$26:M$126,MATCH('Step 6 Quality Check'!C531,'Step 4 Stage Discharge'!E$26:E$126,1),1))/(INDEX('Step 4 Stage Discharge'!E$26:M$126,MATCH('Step 6 Quality Check'!C531,'Step 4 Stage Discharge'!E$26:E$126,1)+1,1)-INDEX('Step 4 Stage Discharge'!E$26:M$126,MATCH('Step 6 Quality Check'!C531,'Step 4 Stage Discharge'!E$26:E$126,1),1))</f>
        <v>4.3639431710317386E-3</v>
      </c>
      <c r="F531" s="218">
        <f t="shared" si="40"/>
        <v>0</v>
      </c>
      <c r="G531" s="218">
        <f t="shared" si="41"/>
        <v>0</v>
      </c>
    </row>
    <row r="532" spans="1:7">
      <c r="A532" s="217">
        <f t="shared" si="42"/>
        <v>2580</v>
      </c>
      <c r="B532" s="216">
        <f t="shared" si="43"/>
        <v>99.1</v>
      </c>
      <c r="C532" s="218">
        <f t="shared" si="44"/>
        <v>0</v>
      </c>
      <c r="D532" s="219">
        <f>INDEX('Step 4 Stage Discharge'!E$26:F$126,MATCH(C532,'Step 4 Stage Discharge'!E$26:E$126,1),2)+(INDEX('Step 4 Stage Discharge'!E$26:F$126,MATCH(C532,'Step 4 Stage Discharge'!E$26:E$126,1)+1,2)-INDEX('Step 4 Stage Discharge'!E$26:F$126,MATCH(C532,'Step 4 Stage Discharge'!E$26:E$126,1),2))*(C532-INDEX('Step 4 Stage Discharge'!E$26:F$126,MATCH(C532,'Step 4 Stage Discharge'!E$26:E$126,1),1))/(INDEX('Step 4 Stage Discharge'!E$26:F$126,MATCH(C532,'Step 4 Stage Discharge'!E$26:E$126,1)+1,1)-INDEX('Step 4 Stage Discharge'!E$26:F$126,MATCH(C532,'Step 4 Stage Discharge'!E$26:E$126,1),1))</f>
        <v>0</v>
      </c>
      <c r="E532" s="219">
        <f>INDEX('Step 4 Stage Discharge'!E$26:M$126,MATCH(C532,'Step 4 Stage Discharge'!E$26:E$126,1),9)+(INDEX('Step 4 Stage Discharge'!E$26:M$126,MATCH('Step 6 Quality Check'!C532,'Step 4 Stage Discharge'!E$26:E$126,1)+1,9)-INDEX('Step 4 Stage Discharge'!E$26:M$126,MATCH('Step 6 Quality Check'!C532,'Step 4 Stage Discharge'!E$26:E$126,1),9))*('Step 6 Quality Check'!C532-INDEX('Step 4 Stage Discharge'!E$26:M$126,MATCH('Step 6 Quality Check'!C532,'Step 4 Stage Discharge'!E$26:E$126,1),1))/(INDEX('Step 4 Stage Discharge'!E$26:M$126,MATCH('Step 6 Quality Check'!C532,'Step 4 Stage Discharge'!E$26:E$126,1)+1,1)-INDEX('Step 4 Stage Discharge'!E$26:M$126,MATCH('Step 6 Quality Check'!C532,'Step 4 Stage Discharge'!E$26:E$126,1),1))</f>
        <v>4.3639431710317386E-3</v>
      </c>
      <c r="F532" s="218">
        <f t="shared" si="40"/>
        <v>0</v>
      </c>
      <c r="G532" s="218">
        <f t="shared" si="41"/>
        <v>0</v>
      </c>
    </row>
    <row r="533" spans="1:7">
      <c r="A533" s="217">
        <f t="shared" si="42"/>
        <v>2585</v>
      </c>
      <c r="B533" s="216">
        <f t="shared" si="43"/>
        <v>99.1</v>
      </c>
      <c r="C533" s="218">
        <f t="shared" si="44"/>
        <v>0</v>
      </c>
      <c r="D533" s="219">
        <f>INDEX('Step 4 Stage Discharge'!E$26:F$126,MATCH(C533,'Step 4 Stage Discharge'!E$26:E$126,1),2)+(INDEX('Step 4 Stage Discharge'!E$26:F$126,MATCH(C533,'Step 4 Stage Discharge'!E$26:E$126,1)+1,2)-INDEX('Step 4 Stage Discharge'!E$26:F$126,MATCH(C533,'Step 4 Stage Discharge'!E$26:E$126,1),2))*(C533-INDEX('Step 4 Stage Discharge'!E$26:F$126,MATCH(C533,'Step 4 Stage Discharge'!E$26:E$126,1),1))/(INDEX('Step 4 Stage Discharge'!E$26:F$126,MATCH(C533,'Step 4 Stage Discharge'!E$26:E$126,1)+1,1)-INDEX('Step 4 Stage Discharge'!E$26:F$126,MATCH(C533,'Step 4 Stage Discharge'!E$26:E$126,1),1))</f>
        <v>0</v>
      </c>
      <c r="E533" s="219">
        <f>INDEX('Step 4 Stage Discharge'!E$26:M$126,MATCH(C533,'Step 4 Stage Discharge'!E$26:E$126,1),9)+(INDEX('Step 4 Stage Discharge'!E$26:M$126,MATCH('Step 6 Quality Check'!C533,'Step 4 Stage Discharge'!E$26:E$126,1)+1,9)-INDEX('Step 4 Stage Discharge'!E$26:M$126,MATCH('Step 6 Quality Check'!C533,'Step 4 Stage Discharge'!E$26:E$126,1),9))*('Step 6 Quality Check'!C533-INDEX('Step 4 Stage Discharge'!E$26:M$126,MATCH('Step 6 Quality Check'!C533,'Step 4 Stage Discharge'!E$26:E$126,1),1))/(INDEX('Step 4 Stage Discharge'!E$26:M$126,MATCH('Step 6 Quality Check'!C533,'Step 4 Stage Discharge'!E$26:E$126,1)+1,1)-INDEX('Step 4 Stage Discharge'!E$26:M$126,MATCH('Step 6 Quality Check'!C533,'Step 4 Stage Discharge'!E$26:E$126,1),1))</f>
        <v>4.3639431710317386E-3</v>
      </c>
      <c r="F533" s="218">
        <f t="shared" si="40"/>
        <v>0</v>
      </c>
      <c r="G533" s="218">
        <f t="shared" si="41"/>
        <v>0</v>
      </c>
    </row>
    <row r="534" spans="1:7">
      <c r="A534" s="217">
        <f t="shared" si="42"/>
        <v>2590</v>
      </c>
      <c r="B534" s="216">
        <f t="shared" si="43"/>
        <v>99.1</v>
      </c>
      <c r="C534" s="218">
        <f t="shared" si="44"/>
        <v>0</v>
      </c>
      <c r="D534" s="219">
        <f>INDEX('Step 4 Stage Discharge'!E$26:F$126,MATCH(C534,'Step 4 Stage Discharge'!E$26:E$126,1),2)+(INDEX('Step 4 Stage Discharge'!E$26:F$126,MATCH(C534,'Step 4 Stage Discharge'!E$26:E$126,1)+1,2)-INDEX('Step 4 Stage Discharge'!E$26:F$126,MATCH(C534,'Step 4 Stage Discharge'!E$26:E$126,1),2))*(C534-INDEX('Step 4 Stage Discharge'!E$26:F$126,MATCH(C534,'Step 4 Stage Discharge'!E$26:E$126,1),1))/(INDEX('Step 4 Stage Discharge'!E$26:F$126,MATCH(C534,'Step 4 Stage Discharge'!E$26:E$126,1)+1,1)-INDEX('Step 4 Stage Discharge'!E$26:F$126,MATCH(C534,'Step 4 Stage Discharge'!E$26:E$126,1),1))</f>
        <v>0</v>
      </c>
      <c r="E534" s="219">
        <f>INDEX('Step 4 Stage Discharge'!E$26:M$126,MATCH(C534,'Step 4 Stage Discharge'!E$26:E$126,1),9)+(INDEX('Step 4 Stage Discharge'!E$26:M$126,MATCH('Step 6 Quality Check'!C534,'Step 4 Stage Discharge'!E$26:E$126,1)+1,9)-INDEX('Step 4 Stage Discharge'!E$26:M$126,MATCH('Step 6 Quality Check'!C534,'Step 4 Stage Discharge'!E$26:E$126,1),9))*('Step 6 Quality Check'!C534-INDEX('Step 4 Stage Discharge'!E$26:M$126,MATCH('Step 6 Quality Check'!C534,'Step 4 Stage Discharge'!E$26:E$126,1),1))/(INDEX('Step 4 Stage Discharge'!E$26:M$126,MATCH('Step 6 Quality Check'!C534,'Step 4 Stage Discharge'!E$26:E$126,1)+1,1)-INDEX('Step 4 Stage Discharge'!E$26:M$126,MATCH('Step 6 Quality Check'!C534,'Step 4 Stage Discharge'!E$26:E$126,1),1))</f>
        <v>4.3639431710317386E-3</v>
      </c>
      <c r="F534" s="218">
        <f t="shared" si="40"/>
        <v>0</v>
      </c>
      <c r="G534" s="218">
        <f t="shared" si="41"/>
        <v>0</v>
      </c>
    </row>
    <row r="535" spans="1:7">
      <c r="A535" s="217">
        <f t="shared" si="42"/>
        <v>2595</v>
      </c>
      <c r="B535" s="216">
        <f t="shared" si="43"/>
        <v>99.1</v>
      </c>
      <c r="C535" s="218">
        <f t="shared" si="44"/>
        <v>0</v>
      </c>
      <c r="D535" s="219">
        <f>INDEX('Step 4 Stage Discharge'!E$26:F$126,MATCH(C535,'Step 4 Stage Discharge'!E$26:E$126,1),2)+(INDEX('Step 4 Stage Discharge'!E$26:F$126,MATCH(C535,'Step 4 Stage Discharge'!E$26:E$126,1)+1,2)-INDEX('Step 4 Stage Discharge'!E$26:F$126,MATCH(C535,'Step 4 Stage Discharge'!E$26:E$126,1),2))*(C535-INDEX('Step 4 Stage Discharge'!E$26:F$126,MATCH(C535,'Step 4 Stage Discharge'!E$26:E$126,1),1))/(INDEX('Step 4 Stage Discharge'!E$26:F$126,MATCH(C535,'Step 4 Stage Discharge'!E$26:E$126,1)+1,1)-INDEX('Step 4 Stage Discharge'!E$26:F$126,MATCH(C535,'Step 4 Stage Discharge'!E$26:E$126,1),1))</f>
        <v>0</v>
      </c>
      <c r="E535" s="219">
        <f>INDEX('Step 4 Stage Discharge'!E$26:M$126,MATCH(C535,'Step 4 Stage Discharge'!E$26:E$126,1),9)+(INDEX('Step 4 Stage Discharge'!E$26:M$126,MATCH('Step 6 Quality Check'!C535,'Step 4 Stage Discharge'!E$26:E$126,1)+1,9)-INDEX('Step 4 Stage Discharge'!E$26:M$126,MATCH('Step 6 Quality Check'!C535,'Step 4 Stage Discharge'!E$26:E$126,1),9))*('Step 6 Quality Check'!C535-INDEX('Step 4 Stage Discharge'!E$26:M$126,MATCH('Step 6 Quality Check'!C535,'Step 4 Stage Discharge'!E$26:E$126,1),1))/(INDEX('Step 4 Stage Discharge'!E$26:M$126,MATCH('Step 6 Quality Check'!C535,'Step 4 Stage Discharge'!E$26:E$126,1)+1,1)-INDEX('Step 4 Stage Discharge'!E$26:M$126,MATCH('Step 6 Quality Check'!C535,'Step 4 Stage Discharge'!E$26:E$126,1),1))</f>
        <v>4.3639431710317386E-3</v>
      </c>
      <c r="F535" s="218">
        <f t="shared" si="40"/>
        <v>0</v>
      </c>
      <c r="G535" s="218">
        <f t="shared" si="41"/>
        <v>0</v>
      </c>
    </row>
    <row r="536" spans="1:7">
      <c r="A536" s="217">
        <f t="shared" si="42"/>
        <v>2600</v>
      </c>
      <c r="B536" s="216">
        <f t="shared" si="43"/>
        <v>99.1</v>
      </c>
      <c r="C536" s="218">
        <f t="shared" si="44"/>
        <v>0</v>
      </c>
      <c r="D536" s="219">
        <f>INDEX('Step 4 Stage Discharge'!E$26:F$126,MATCH(C536,'Step 4 Stage Discharge'!E$26:E$126,1),2)+(INDEX('Step 4 Stage Discharge'!E$26:F$126,MATCH(C536,'Step 4 Stage Discharge'!E$26:E$126,1)+1,2)-INDEX('Step 4 Stage Discharge'!E$26:F$126,MATCH(C536,'Step 4 Stage Discharge'!E$26:E$126,1),2))*(C536-INDEX('Step 4 Stage Discharge'!E$26:F$126,MATCH(C536,'Step 4 Stage Discharge'!E$26:E$126,1),1))/(INDEX('Step 4 Stage Discharge'!E$26:F$126,MATCH(C536,'Step 4 Stage Discharge'!E$26:E$126,1)+1,1)-INDEX('Step 4 Stage Discharge'!E$26:F$126,MATCH(C536,'Step 4 Stage Discharge'!E$26:E$126,1),1))</f>
        <v>0</v>
      </c>
      <c r="E536" s="219">
        <f>INDEX('Step 4 Stage Discharge'!E$26:M$126,MATCH(C536,'Step 4 Stage Discharge'!E$26:E$126,1),9)+(INDEX('Step 4 Stage Discharge'!E$26:M$126,MATCH('Step 6 Quality Check'!C536,'Step 4 Stage Discharge'!E$26:E$126,1)+1,9)-INDEX('Step 4 Stage Discharge'!E$26:M$126,MATCH('Step 6 Quality Check'!C536,'Step 4 Stage Discharge'!E$26:E$126,1),9))*('Step 6 Quality Check'!C536-INDEX('Step 4 Stage Discharge'!E$26:M$126,MATCH('Step 6 Quality Check'!C536,'Step 4 Stage Discharge'!E$26:E$126,1),1))/(INDEX('Step 4 Stage Discharge'!E$26:M$126,MATCH('Step 6 Quality Check'!C536,'Step 4 Stage Discharge'!E$26:E$126,1)+1,1)-INDEX('Step 4 Stage Discharge'!E$26:M$126,MATCH('Step 6 Quality Check'!C536,'Step 4 Stage Discharge'!E$26:E$126,1),1))</f>
        <v>4.3639431710317386E-3</v>
      </c>
      <c r="F536" s="218">
        <f t="shared" si="40"/>
        <v>0</v>
      </c>
      <c r="G536" s="218">
        <f t="shared" si="41"/>
        <v>0</v>
      </c>
    </row>
    <row r="537" spans="1:7">
      <c r="A537" s="217">
        <f t="shared" si="42"/>
        <v>2605</v>
      </c>
      <c r="B537" s="216">
        <f t="shared" si="43"/>
        <v>99.1</v>
      </c>
      <c r="C537" s="218">
        <f t="shared" si="44"/>
        <v>0</v>
      </c>
      <c r="D537" s="219">
        <f>INDEX('Step 4 Stage Discharge'!E$26:F$126,MATCH(C537,'Step 4 Stage Discharge'!E$26:E$126,1),2)+(INDEX('Step 4 Stage Discharge'!E$26:F$126,MATCH(C537,'Step 4 Stage Discharge'!E$26:E$126,1)+1,2)-INDEX('Step 4 Stage Discharge'!E$26:F$126,MATCH(C537,'Step 4 Stage Discharge'!E$26:E$126,1),2))*(C537-INDEX('Step 4 Stage Discharge'!E$26:F$126,MATCH(C537,'Step 4 Stage Discharge'!E$26:E$126,1),1))/(INDEX('Step 4 Stage Discharge'!E$26:F$126,MATCH(C537,'Step 4 Stage Discharge'!E$26:E$126,1)+1,1)-INDEX('Step 4 Stage Discharge'!E$26:F$126,MATCH(C537,'Step 4 Stage Discharge'!E$26:E$126,1),1))</f>
        <v>0</v>
      </c>
      <c r="E537" s="219">
        <f>INDEX('Step 4 Stage Discharge'!E$26:M$126,MATCH(C537,'Step 4 Stage Discharge'!E$26:E$126,1),9)+(INDEX('Step 4 Stage Discharge'!E$26:M$126,MATCH('Step 6 Quality Check'!C537,'Step 4 Stage Discharge'!E$26:E$126,1)+1,9)-INDEX('Step 4 Stage Discharge'!E$26:M$126,MATCH('Step 6 Quality Check'!C537,'Step 4 Stage Discharge'!E$26:E$126,1),9))*('Step 6 Quality Check'!C537-INDEX('Step 4 Stage Discharge'!E$26:M$126,MATCH('Step 6 Quality Check'!C537,'Step 4 Stage Discharge'!E$26:E$126,1),1))/(INDEX('Step 4 Stage Discharge'!E$26:M$126,MATCH('Step 6 Quality Check'!C537,'Step 4 Stage Discharge'!E$26:E$126,1)+1,1)-INDEX('Step 4 Stage Discharge'!E$26:M$126,MATCH('Step 6 Quality Check'!C537,'Step 4 Stage Discharge'!E$26:E$126,1),1))</f>
        <v>4.3639431710317386E-3</v>
      </c>
      <c r="F537" s="218">
        <f t="shared" si="40"/>
        <v>0</v>
      </c>
      <c r="G537" s="218">
        <f t="shared" si="41"/>
        <v>0</v>
      </c>
    </row>
    <row r="538" spans="1:7">
      <c r="A538" s="217">
        <f t="shared" si="42"/>
        <v>2610</v>
      </c>
      <c r="B538" s="216">
        <f t="shared" si="43"/>
        <v>99.1</v>
      </c>
      <c r="C538" s="218">
        <f t="shared" si="44"/>
        <v>0</v>
      </c>
      <c r="D538" s="219">
        <f>INDEX('Step 4 Stage Discharge'!E$26:F$126,MATCH(C538,'Step 4 Stage Discharge'!E$26:E$126,1),2)+(INDEX('Step 4 Stage Discharge'!E$26:F$126,MATCH(C538,'Step 4 Stage Discharge'!E$26:E$126,1)+1,2)-INDEX('Step 4 Stage Discharge'!E$26:F$126,MATCH(C538,'Step 4 Stage Discharge'!E$26:E$126,1),2))*(C538-INDEX('Step 4 Stage Discharge'!E$26:F$126,MATCH(C538,'Step 4 Stage Discharge'!E$26:E$126,1),1))/(INDEX('Step 4 Stage Discharge'!E$26:F$126,MATCH(C538,'Step 4 Stage Discharge'!E$26:E$126,1)+1,1)-INDEX('Step 4 Stage Discharge'!E$26:F$126,MATCH(C538,'Step 4 Stage Discharge'!E$26:E$126,1),1))</f>
        <v>0</v>
      </c>
      <c r="E538" s="219">
        <f>INDEX('Step 4 Stage Discharge'!E$26:M$126,MATCH(C538,'Step 4 Stage Discharge'!E$26:E$126,1),9)+(INDEX('Step 4 Stage Discharge'!E$26:M$126,MATCH('Step 6 Quality Check'!C538,'Step 4 Stage Discharge'!E$26:E$126,1)+1,9)-INDEX('Step 4 Stage Discharge'!E$26:M$126,MATCH('Step 6 Quality Check'!C538,'Step 4 Stage Discharge'!E$26:E$126,1),9))*('Step 6 Quality Check'!C538-INDEX('Step 4 Stage Discharge'!E$26:M$126,MATCH('Step 6 Quality Check'!C538,'Step 4 Stage Discharge'!E$26:E$126,1),1))/(INDEX('Step 4 Stage Discharge'!E$26:M$126,MATCH('Step 6 Quality Check'!C538,'Step 4 Stage Discharge'!E$26:E$126,1)+1,1)-INDEX('Step 4 Stage Discharge'!E$26:M$126,MATCH('Step 6 Quality Check'!C538,'Step 4 Stage Discharge'!E$26:E$126,1),1))</f>
        <v>4.3639431710317386E-3</v>
      </c>
      <c r="F538" s="218">
        <f t="shared" si="40"/>
        <v>0</v>
      </c>
      <c r="G538" s="218">
        <f t="shared" si="41"/>
        <v>0</v>
      </c>
    </row>
    <row r="539" spans="1:7">
      <c r="A539" s="217">
        <f t="shared" si="42"/>
        <v>2615</v>
      </c>
      <c r="B539" s="216">
        <f t="shared" si="43"/>
        <v>99.1</v>
      </c>
      <c r="C539" s="218">
        <f t="shared" si="44"/>
        <v>0</v>
      </c>
      <c r="D539" s="219">
        <f>INDEX('Step 4 Stage Discharge'!E$26:F$126,MATCH(C539,'Step 4 Stage Discharge'!E$26:E$126,1),2)+(INDEX('Step 4 Stage Discharge'!E$26:F$126,MATCH(C539,'Step 4 Stage Discharge'!E$26:E$126,1)+1,2)-INDEX('Step 4 Stage Discharge'!E$26:F$126,MATCH(C539,'Step 4 Stage Discharge'!E$26:E$126,1),2))*(C539-INDEX('Step 4 Stage Discharge'!E$26:F$126,MATCH(C539,'Step 4 Stage Discharge'!E$26:E$126,1),1))/(INDEX('Step 4 Stage Discharge'!E$26:F$126,MATCH(C539,'Step 4 Stage Discharge'!E$26:E$126,1)+1,1)-INDEX('Step 4 Stage Discharge'!E$26:F$126,MATCH(C539,'Step 4 Stage Discharge'!E$26:E$126,1),1))</f>
        <v>0</v>
      </c>
      <c r="E539" s="219">
        <f>INDEX('Step 4 Stage Discharge'!E$26:M$126,MATCH(C539,'Step 4 Stage Discharge'!E$26:E$126,1),9)+(INDEX('Step 4 Stage Discharge'!E$26:M$126,MATCH('Step 6 Quality Check'!C539,'Step 4 Stage Discharge'!E$26:E$126,1)+1,9)-INDEX('Step 4 Stage Discharge'!E$26:M$126,MATCH('Step 6 Quality Check'!C539,'Step 4 Stage Discharge'!E$26:E$126,1),9))*('Step 6 Quality Check'!C539-INDEX('Step 4 Stage Discharge'!E$26:M$126,MATCH('Step 6 Quality Check'!C539,'Step 4 Stage Discharge'!E$26:E$126,1),1))/(INDEX('Step 4 Stage Discharge'!E$26:M$126,MATCH('Step 6 Quality Check'!C539,'Step 4 Stage Discharge'!E$26:E$126,1)+1,1)-INDEX('Step 4 Stage Discharge'!E$26:M$126,MATCH('Step 6 Quality Check'!C539,'Step 4 Stage Discharge'!E$26:E$126,1),1))</f>
        <v>4.3639431710317386E-3</v>
      </c>
      <c r="F539" s="218">
        <f t="shared" si="40"/>
        <v>0</v>
      </c>
      <c r="G539" s="218">
        <f t="shared" si="41"/>
        <v>0</v>
      </c>
    </row>
    <row r="540" spans="1:7">
      <c r="A540" s="217">
        <f t="shared" si="42"/>
        <v>2620</v>
      </c>
      <c r="B540" s="216">
        <f t="shared" si="43"/>
        <v>99.1</v>
      </c>
      <c r="C540" s="218">
        <f t="shared" si="44"/>
        <v>0</v>
      </c>
      <c r="D540" s="219">
        <f>INDEX('Step 4 Stage Discharge'!E$26:F$126,MATCH(C540,'Step 4 Stage Discharge'!E$26:E$126,1),2)+(INDEX('Step 4 Stage Discharge'!E$26:F$126,MATCH(C540,'Step 4 Stage Discharge'!E$26:E$126,1)+1,2)-INDEX('Step 4 Stage Discharge'!E$26:F$126,MATCH(C540,'Step 4 Stage Discharge'!E$26:E$126,1),2))*(C540-INDEX('Step 4 Stage Discharge'!E$26:F$126,MATCH(C540,'Step 4 Stage Discharge'!E$26:E$126,1),1))/(INDEX('Step 4 Stage Discharge'!E$26:F$126,MATCH(C540,'Step 4 Stage Discharge'!E$26:E$126,1)+1,1)-INDEX('Step 4 Stage Discharge'!E$26:F$126,MATCH(C540,'Step 4 Stage Discharge'!E$26:E$126,1),1))</f>
        <v>0</v>
      </c>
      <c r="E540" s="219">
        <f>INDEX('Step 4 Stage Discharge'!E$26:M$126,MATCH(C540,'Step 4 Stage Discharge'!E$26:E$126,1),9)+(INDEX('Step 4 Stage Discharge'!E$26:M$126,MATCH('Step 6 Quality Check'!C540,'Step 4 Stage Discharge'!E$26:E$126,1)+1,9)-INDEX('Step 4 Stage Discharge'!E$26:M$126,MATCH('Step 6 Quality Check'!C540,'Step 4 Stage Discharge'!E$26:E$126,1),9))*('Step 6 Quality Check'!C540-INDEX('Step 4 Stage Discharge'!E$26:M$126,MATCH('Step 6 Quality Check'!C540,'Step 4 Stage Discharge'!E$26:E$126,1),1))/(INDEX('Step 4 Stage Discharge'!E$26:M$126,MATCH('Step 6 Quality Check'!C540,'Step 4 Stage Discharge'!E$26:E$126,1)+1,1)-INDEX('Step 4 Stage Discharge'!E$26:M$126,MATCH('Step 6 Quality Check'!C540,'Step 4 Stage Discharge'!E$26:E$126,1),1))</f>
        <v>4.3639431710317386E-3</v>
      </c>
      <c r="F540" s="218">
        <f t="shared" si="40"/>
        <v>0</v>
      </c>
      <c r="G540" s="218">
        <f t="shared" si="41"/>
        <v>0</v>
      </c>
    </row>
    <row r="541" spans="1:7">
      <c r="A541" s="217">
        <f t="shared" si="42"/>
        <v>2625</v>
      </c>
      <c r="B541" s="216">
        <f t="shared" si="43"/>
        <v>99.1</v>
      </c>
      <c r="C541" s="218">
        <f t="shared" si="44"/>
        <v>0</v>
      </c>
      <c r="D541" s="219">
        <f>INDEX('Step 4 Stage Discharge'!E$26:F$126,MATCH(C541,'Step 4 Stage Discharge'!E$26:E$126,1),2)+(INDEX('Step 4 Stage Discharge'!E$26:F$126,MATCH(C541,'Step 4 Stage Discharge'!E$26:E$126,1)+1,2)-INDEX('Step 4 Stage Discharge'!E$26:F$126,MATCH(C541,'Step 4 Stage Discharge'!E$26:E$126,1),2))*(C541-INDEX('Step 4 Stage Discharge'!E$26:F$126,MATCH(C541,'Step 4 Stage Discharge'!E$26:E$126,1),1))/(INDEX('Step 4 Stage Discharge'!E$26:F$126,MATCH(C541,'Step 4 Stage Discharge'!E$26:E$126,1)+1,1)-INDEX('Step 4 Stage Discharge'!E$26:F$126,MATCH(C541,'Step 4 Stage Discharge'!E$26:E$126,1),1))</f>
        <v>0</v>
      </c>
      <c r="E541" s="219">
        <f>INDEX('Step 4 Stage Discharge'!E$26:M$126,MATCH(C541,'Step 4 Stage Discharge'!E$26:E$126,1),9)+(INDEX('Step 4 Stage Discharge'!E$26:M$126,MATCH('Step 6 Quality Check'!C541,'Step 4 Stage Discharge'!E$26:E$126,1)+1,9)-INDEX('Step 4 Stage Discharge'!E$26:M$126,MATCH('Step 6 Quality Check'!C541,'Step 4 Stage Discharge'!E$26:E$126,1),9))*('Step 6 Quality Check'!C541-INDEX('Step 4 Stage Discharge'!E$26:M$126,MATCH('Step 6 Quality Check'!C541,'Step 4 Stage Discharge'!E$26:E$126,1),1))/(INDEX('Step 4 Stage Discharge'!E$26:M$126,MATCH('Step 6 Quality Check'!C541,'Step 4 Stage Discharge'!E$26:E$126,1)+1,1)-INDEX('Step 4 Stage Discharge'!E$26:M$126,MATCH('Step 6 Quality Check'!C541,'Step 4 Stage Discharge'!E$26:E$126,1),1))</f>
        <v>4.3639431710317386E-3</v>
      </c>
      <c r="F541" s="218">
        <f t="shared" si="40"/>
        <v>0</v>
      </c>
      <c r="G541" s="218">
        <f t="shared" si="41"/>
        <v>0</v>
      </c>
    </row>
    <row r="542" spans="1:7">
      <c r="A542" s="217">
        <f t="shared" si="42"/>
        <v>2630</v>
      </c>
      <c r="B542" s="216">
        <f t="shared" si="43"/>
        <v>99.1</v>
      </c>
      <c r="C542" s="218">
        <f t="shared" si="44"/>
        <v>0</v>
      </c>
      <c r="D542" s="219">
        <f>INDEX('Step 4 Stage Discharge'!E$26:F$126,MATCH(C542,'Step 4 Stage Discharge'!E$26:E$126,1),2)+(INDEX('Step 4 Stage Discharge'!E$26:F$126,MATCH(C542,'Step 4 Stage Discharge'!E$26:E$126,1)+1,2)-INDEX('Step 4 Stage Discharge'!E$26:F$126,MATCH(C542,'Step 4 Stage Discharge'!E$26:E$126,1),2))*(C542-INDEX('Step 4 Stage Discharge'!E$26:F$126,MATCH(C542,'Step 4 Stage Discharge'!E$26:E$126,1),1))/(INDEX('Step 4 Stage Discharge'!E$26:F$126,MATCH(C542,'Step 4 Stage Discharge'!E$26:E$126,1)+1,1)-INDEX('Step 4 Stage Discharge'!E$26:F$126,MATCH(C542,'Step 4 Stage Discharge'!E$26:E$126,1),1))</f>
        <v>0</v>
      </c>
      <c r="E542" s="219">
        <f>INDEX('Step 4 Stage Discharge'!E$26:M$126,MATCH(C542,'Step 4 Stage Discharge'!E$26:E$126,1),9)+(INDEX('Step 4 Stage Discharge'!E$26:M$126,MATCH('Step 6 Quality Check'!C542,'Step 4 Stage Discharge'!E$26:E$126,1)+1,9)-INDEX('Step 4 Stage Discharge'!E$26:M$126,MATCH('Step 6 Quality Check'!C542,'Step 4 Stage Discharge'!E$26:E$126,1),9))*('Step 6 Quality Check'!C542-INDEX('Step 4 Stage Discharge'!E$26:M$126,MATCH('Step 6 Quality Check'!C542,'Step 4 Stage Discharge'!E$26:E$126,1),1))/(INDEX('Step 4 Stage Discharge'!E$26:M$126,MATCH('Step 6 Quality Check'!C542,'Step 4 Stage Discharge'!E$26:E$126,1)+1,1)-INDEX('Step 4 Stage Discharge'!E$26:M$126,MATCH('Step 6 Quality Check'!C542,'Step 4 Stage Discharge'!E$26:E$126,1),1))</f>
        <v>4.3639431710317386E-3</v>
      </c>
      <c r="F542" s="218">
        <f t="shared" si="40"/>
        <v>0</v>
      </c>
      <c r="G542" s="218">
        <f t="shared" si="41"/>
        <v>0</v>
      </c>
    </row>
    <row r="543" spans="1:7">
      <c r="A543" s="217">
        <f t="shared" si="42"/>
        <v>2635</v>
      </c>
      <c r="B543" s="216">
        <f t="shared" si="43"/>
        <v>99.1</v>
      </c>
      <c r="C543" s="218">
        <f t="shared" si="44"/>
        <v>0</v>
      </c>
      <c r="D543" s="219">
        <f>INDEX('Step 4 Stage Discharge'!E$26:F$126,MATCH(C543,'Step 4 Stage Discharge'!E$26:E$126,1),2)+(INDEX('Step 4 Stage Discharge'!E$26:F$126,MATCH(C543,'Step 4 Stage Discharge'!E$26:E$126,1)+1,2)-INDEX('Step 4 Stage Discharge'!E$26:F$126,MATCH(C543,'Step 4 Stage Discharge'!E$26:E$126,1),2))*(C543-INDEX('Step 4 Stage Discharge'!E$26:F$126,MATCH(C543,'Step 4 Stage Discharge'!E$26:E$126,1),1))/(INDEX('Step 4 Stage Discharge'!E$26:F$126,MATCH(C543,'Step 4 Stage Discharge'!E$26:E$126,1)+1,1)-INDEX('Step 4 Stage Discharge'!E$26:F$126,MATCH(C543,'Step 4 Stage Discharge'!E$26:E$126,1),1))</f>
        <v>0</v>
      </c>
      <c r="E543" s="219">
        <f>INDEX('Step 4 Stage Discharge'!E$26:M$126,MATCH(C543,'Step 4 Stage Discharge'!E$26:E$126,1),9)+(INDEX('Step 4 Stage Discharge'!E$26:M$126,MATCH('Step 6 Quality Check'!C543,'Step 4 Stage Discharge'!E$26:E$126,1)+1,9)-INDEX('Step 4 Stage Discharge'!E$26:M$126,MATCH('Step 6 Quality Check'!C543,'Step 4 Stage Discharge'!E$26:E$126,1),9))*('Step 6 Quality Check'!C543-INDEX('Step 4 Stage Discharge'!E$26:M$126,MATCH('Step 6 Quality Check'!C543,'Step 4 Stage Discharge'!E$26:E$126,1),1))/(INDEX('Step 4 Stage Discharge'!E$26:M$126,MATCH('Step 6 Quality Check'!C543,'Step 4 Stage Discharge'!E$26:E$126,1)+1,1)-INDEX('Step 4 Stage Discharge'!E$26:M$126,MATCH('Step 6 Quality Check'!C543,'Step 4 Stage Discharge'!E$26:E$126,1),1))</f>
        <v>4.3639431710317386E-3</v>
      </c>
      <c r="F543" s="218">
        <f t="shared" si="40"/>
        <v>0</v>
      </c>
      <c r="G543" s="218">
        <f t="shared" si="41"/>
        <v>0</v>
      </c>
    </row>
    <row r="544" spans="1:7">
      <c r="A544" s="217">
        <f t="shared" si="42"/>
        <v>2640</v>
      </c>
      <c r="B544" s="216">
        <f t="shared" si="43"/>
        <v>99.1</v>
      </c>
      <c r="C544" s="218">
        <f t="shared" si="44"/>
        <v>0</v>
      </c>
      <c r="D544" s="219">
        <f>INDEX('Step 4 Stage Discharge'!E$26:F$126,MATCH(C544,'Step 4 Stage Discharge'!E$26:E$126,1),2)+(INDEX('Step 4 Stage Discharge'!E$26:F$126,MATCH(C544,'Step 4 Stage Discharge'!E$26:E$126,1)+1,2)-INDEX('Step 4 Stage Discharge'!E$26:F$126,MATCH(C544,'Step 4 Stage Discharge'!E$26:E$126,1),2))*(C544-INDEX('Step 4 Stage Discharge'!E$26:F$126,MATCH(C544,'Step 4 Stage Discharge'!E$26:E$126,1),1))/(INDEX('Step 4 Stage Discharge'!E$26:F$126,MATCH(C544,'Step 4 Stage Discharge'!E$26:E$126,1)+1,1)-INDEX('Step 4 Stage Discharge'!E$26:F$126,MATCH(C544,'Step 4 Stage Discharge'!E$26:E$126,1),1))</f>
        <v>0</v>
      </c>
      <c r="E544" s="219">
        <f>INDEX('Step 4 Stage Discharge'!E$26:M$126,MATCH(C544,'Step 4 Stage Discharge'!E$26:E$126,1),9)+(INDEX('Step 4 Stage Discharge'!E$26:M$126,MATCH('Step 6 Quality Check'!C544,'Step 4 Stage Discharge'!E$26:E$126,1)+1,9)-INDEX('Step 4 Stage Discharge'!E$26:M$126,MATCH('Step 6 Quality Check'!C544,'Step 4 Stage Discharge'!E$26:E$126,1),9))*('Step 6 Quality Check'!C544-INDEX('Step 4 Stage Discharge'!E$26:M$126,MATCH('Step 6 Quality Check'!C544,'Step 4 Stage Discharge'!E$26:E$126,1),1))/(INDEX('Step 4 Stage Discharge'!E$26:M$126,MATCH('Step 6 Quality Check'!C544,'Step 4 Stage Discharge'!E$26:E$126,1)+1,1)-INDEX('Step 4 Stage Discharge'!E$26:M$126,MATCH('Step 6 Quality Check'!C544,'Step 4 Stage Discharge'!E$26:E$126,1),1))</f>
        <v>4.3639431710317386E-3</v>
      </c>
      <c r="F544" s="218">
        <f t="shared" si="40"/>
        <v>0</v>
      </c>
      <c r="G544" s="218">
        <f t="shared" si="41"/>
        <v>0</v>
      </c>
    </row>
    <row r="545" spans="1:7">
      <c r="A545" s="217">
        <f t="shared" si="42"/>
        <v>2645</v>
      </c>
      <c r="B545" s="216">
        <f t="shared" si="43"/>
        <v>99.1</v>
      </c>
      <c r="C545" s="218">
        <f t="shared" si="44"/>
        <v>0</v>
      </c>
      <c r="D545" s="219">
        <f>INDEX('Step 4 Stage Discharge'!E$26:F$126,MATCH(C545,'Step 4 Stage Discharge'!E$26:E$126,1),2)+(INDEX('Step 4 Stage Discharge'!E$26:F$126,MATCH(C545,'Step 4 Stage Discharge'!E$26:E$126,1)+1,2)-INDEX('Step 4 Stage Discharge'!E$26:F$126,MATCH(C545,'Step 4 Stage Discharge'!E$26:E$126,1),2))*(C545-INDEX('Step 4 Stage Discharge'!E$26:F$126,MATCH(C545,'Step 4 Stage Discharge'!E$26:E$126,1),1))/(INDEX('Step 4 Stage Discharge'!E$26:F$126,MATCH(C545,'Step 4 Stage Discharge'!E$26:E$126,1)+1,1)-INDEX('Step 4 Stage Discharge'!E$26:F$126,MATCH(C545,'Step 4 Stage Discharge'!E$26:E$126,1),1))</f>
        <v>0</v>
      </c>
      <c r="E545" s="219">
        <f>INDEX('Step 4 Stage Discharge'!E$26:M$126,MATCH(C545,'Step 4 Stage Discharge'!E$26:E$126,1),9)+(INDEX('Step 4 Stage Discharge'!E$26:M$126,MATCH('Step 6 Quality Check'!C545,'Step 4 Stage Discharge'!E$26:E$126,1)+1,9)-INDEX('Step 4 Stage Discharge'!E$26:M$126,MATCH('Step 6 Quality Check'!C545,'Step 4 Stage Discharge'!E$26:E$126,1),9))*('Step 6 Quality Check'!C545-INDEX('Step 4 Stage Discharge'!E$26:M$126,MATCH('Step 6 Quality Check'!C545,'Step 4 Stage Discharge'!E$26:E$126,1),1))/(INDEX('Step 4 Stage Discharge'!E$26:M$126,MATCH('Step 6 Quality Check'!C545,'Step 4 Stage Discharge'!E$26:E$126,1)+1,1)-INDEX('Step 4 Stage Discharge'!E$26:M$126,MATCH('Step 6 Quality Check'!C545,'Step 4 Stage Discharge'!E$26:E$126,1),1))</f>
        <v>4.3639431710317386E-3</v>
      </c>
      <c r="F545" s="218">
        <f t="shared" si="40"/>
        <v>0</v>
      </c>
      <c r="G545" s="218">
        <f t="shared" si="41"/>
        <v>0</v>
      </c>
    </row>
    <row r="546" spans="1:7">
      <c r="A546" s="217">
        <f t="shared" si="42"/>
        <v>2650</v>
      </c>
      <c r="B546" s="216">
        <f t="shared" si="43"/>
        <v>99.1</v>
      </c>
      <c r="C546" s="218">
        <f t="shared" si="44"/>
        <v>0</v>
      </c>
      <c r="D546" s="219">
        <f>INDEX('Step 4 Stage Discharge'!E$26:F$126,MATCH(C546,'Step 4 Stage Discharge'!E$26:E$126,1),2)+(INDEX('Step 4 Stage Discharge'!E$26:F$126,MATCH(C546,'Step 4 Stage Discharge'!E$26:E$126,1)+1,2)-INDEX('Step 4 Stage Discharge'!E$26:F$126,MATCH(C546,'Step 4 Stage Discharge'!E$26:E$126,1),2))*(C546-INDEX('Step 4 Stage Discharge'!E$26:F$126,MATCH(C546,'Step 4 Stage Discharge'!E$26:E$126,1),1))/(INDEX('Step 4 Stage Discharge'!E$26:F$126,MATCH(C546,'Step 4 Stage Discharge'!E$26:E$126,1)+1,1)-INDEX('Step 4 Stage Discharge'!E$26:F$126,MATCH(C546,'Step 4 Stage Discharge'!E$26:E$126,1),1))</f>
        <v>0</v>
      </c>
      <c r="E546" s="219">
        <f>INDEX('Step 4 Stage Discharge'!E$26:M$126,MATCH(C546,'Step 4 Stage Discharge'!E$26:E$126,1),9)+(INDEX('Step 4 Stage Discharge'!E$26:M$126,MATCH('Step 6 Quality Check'!C546,'Step 4 Stage Discharge'!E$26:E$126,1)+1,9)-INDEX('Step 4 Stage Discharge'!E$26:M$126,MATCH('Step 6 Quality Check'!C546,'Step 4 Stage Discharge'!E$26:E$126,1),9))*('Step 6 Quality Check'!C546-INDEX('Step 4 Stage Discharge'!E$26:M$126,MATCH('Step 6 Quality Check'!C546,'Step 4 Stage Discharge'!E$26:E$126,1),1))/(INDEX('Step 4 Stage Discharge'!E$26:M$126,MATCH('Step 6 Quality Check'!C546,'Step 4 Stage Discharge'!E$26:E$126,1)+1,1)-INDEX('Step 4 Stage Discharge'!E$26:M$126,MATCH('Step 6 Quality Check'!C546,'Step 4 Stage Discharge'!E$26:E$126,1),1))</f>
        <v>4.3639431710317386E-3</v>
      </c>
      <c r="F546" s="218">
        <f t="shared" si="40"/>
        <v>0</v>
      </c>
      <c r="G546" s="218">
        <f t="shared" si="41"/>
        <v>0</v>
      </c>
    </row>
    <row r="547" spans="1:7">
      <c r="A547" s="217">
        <f t="shared" si="42"/>
        <v>2655</v>
      </c>
      <c r="B547" s="216">
        <f t="shared" si="43"/>
        <v>99.1</v>
      </c>
      <c r="C547" s="218">
        <f t="shared" si="44"/>
        <v>0</v>
      </c>
      <c r="D547" s="219">
        <f>INDEX('Step 4 Stage Discharge'!E$26:F$126,MATCH(C547,'Step 4 Stage Discharge'!E$26:E$126,1),2)+(INDEX('Step 4 Stage Discharge'!E$26:F$126,MATCH(C547,'Step 4 Stage Discharge'!E$26:E$126,1)+1,2)-INDEX('Step 4 Stage Discharge'!E$26:F$126,MATCH(C547,'Step 4 Stage Discharge'!E$26:E$126,1),2))*(C547-INDEX('Step 4 Stage Discharge'!E$26:F$126,MATCH(C547,'Step 4 Stage Discharge'!E$26:E$126,1),1))/(INDEX('Step 4 Stage Discharge'!E$26:F$126,MATCH(C547,'Step 4 Stage Discharge'!E$26:E$126,1)+1,1)-INDEX('Step 4 Stage Discharge'!E$26:F$126,MATCH(C547,'Step 4 Stage Discharge'!E$26:E$126,1),1))</f>
        <v>0</v>
      </c>
      <c r="E547" s="219">
        <f>INDEX('Step 4 Stage Discharge'!E$26:M$126,MATCH(C547,'Step 4 Stage Discharge'!E$26:E$126,1),9)+(INDEX('Step 4 Stage Discharge'!E$26:M$126,MATCH('Step 6 Quality Check'!C547,'Step 4 Stage Discharge'!E$26:E$126,1)+1,9)-INDEX('Step 4 Stage Discharge'!E$26:M$126,MATCH('Step 6 Quality Check'!C547,'Step 4 Stage Discharge'!E$26:E$126,1),9))*('Step 6 Quality Check'!C547-INDEX('Step 4 Stage Discharge'!E$26:M$126,MATCH('Step 6 Quality Check'!C547,'Step 4 Stage Discharge'!E$26:E$126,1),1))/(INDEX('Step 4 Stage Discharge'!E$26:M$126,MATCH('Step 6 Quality Check'!C547,'Step 4 Stage Discharge'!E$26:E$126,1)+1,1)-INDEX('Step 4 Stage Discharge'!E$26:M$126,MATCH('Step 6 Quality Check'!C547,'Step 4 Stage Discharge'!E$26:E$126,1),1))</f>
        <v>4.3639431710317386E-3</v>
      </c>
      <c r="F547" s="218">
        <f t="shared" si="40"/>
        <v>0</v>
      </c>
      <c r="G547" s="218">
        <f t="shared" si="41"/>
        <v>0</v>
      </c>
    </row>
    <row r="548" spans="1:7">
      <c r="A548" s="217">
        <f t="shared" si="42"/>
        <v>2660</v>
      </c>
      <c r="B548" s="216">
        <f t="shared" si="43"/>
        <v>99.1</v>
      </c>
      <c r="C548" s="218">
        <f t="shared" si="44"/>
        <v>0</v>
      </c>
      <c r="D548" s="219">
        <f>INDEX('Step 4 Stage Discharge'!E$26:F$126,MATCH(C548,'Step 4 Stage Discharge'!E$26:E$126,1),2)+(INDEX('Step 4 Stage Discharge'!E$26:F$126,MATCH(C548,'Step 4 Stage Discharge'!E$26:E$126,1)+1,2)-INDEX('Step 4 Stage Discharge'!E$26:F$126,MATCH(C548,'Step 4 Stage Discharge'!E$26:E$126,1),2))*(C548-INDEX('Step 4 Stage Discharge'!E$26:F$126,MATCH(C548,'Step 4 Stage Discharge'!E$26:E$126,1),1))/(INDEX('Step 4 Stage Discharge'!E$26:F$126,MATCH(C548,'Step 4 Stage Discharge'!E$26:E$126,1)+1,1)-INDEX('Step 4 Stage Discharge'!E$26:F$126,MATCH(C548,'Step 4 Stage Discharge'!E$26:E$126,1),1))</f>
        <v>0</v>
      </c>
      <c r="E548" s="219">
        <f>INDEX('Step 4 Stage Discharge'!E$26:M$126,MATCH(C548,'Step 4 Stage Discharge'!E$26:E$126,1),9)+(INDEX('Step 4 Stage Discharge'!E$26:M$126,MATCH('Step 6 Quality Check'!C548,'Step 4 Stage Discharge'!E$26:E$126,1)+1,9)-INDEX('Step 4 Stage Discharge'!E$26:M$126,MATCH('Step 6 Quality Check'!C548,'Step 4 Stage Discharge'!E$26:E$126,1),9))*('Step 6 Quality Check'!C548-INDEX('Step 4 Stage Discharge'!E$26:M$126,MATCH('Step 6 Quality Check'!C548,'Step 4 Stage Discharge'!E$26:E$126,1),1))/(INDEX('Step 4 Stage Discharge'!E$26:M$126,MATCH('Step 6 Quality Check'!C548,'Step 4 Stage Discharge'!E$26:E$126,1)+1,1)-INDEX('Step 4 Stage Discharge'!E$26:M$126,MATCH('Step 6 Quality Check'!C548,'Step 4 Stage Discharge'!E$26:E$126,1),1))</f>
        <v>4.3639431710317386E-3</v>
      </c>
      <c r="F548" s="218">
        <f t="shared" si="40"/>
        <v>0</v>
      </c>
      <c r="G548" s="218">
        <f t="shared" si="41"/>
        <v>0</v>
      </c>
    </row>
    <row r="549" spans="1:7">
      <c r="A549" s="217">
        <f t="shared" si="42"/>
        <v>2665</v>
      </c>
      <c r="B549" s="216">
        <f t="shared" si="43"/>
        <v>99.1</v>
      </c>
      <c r="C549" s="218">
        <f t="shared" si="44"/>
        <v>0</v>
      </c>
      <c r="D549" s="219">
        <f>INDEX('Step 4 Stage Discharge'!E$26:F$126,MATCH(C549,'Step 4 Stage Discharge'!E$26:E$126,1),2)+(INDEX('Step 4 Stage Discharge'!E$26:F$126,MATCH(C549,'Step 4 Stage Discharge'!E$26:E$126,1)+1,2)-INDEX('Step 4 Stage Discharge'!E$26:F$126,MATCH(C549,'Step 4 Stage Discharge'!E$26:E$126,1),2))*(C549-INDEX('Step 4 Stage Discharge'!E$26:F$126,MATCH(C549,'Step 4 Stage Discharge'!E$26:E$126,1),1))/(INDEX('Step 4 Stage Discharge'!E$26:F$126,MATCH(C549,'Step 4 Stage Discharge'!E$26:E$126,1)+1,1)-INDEX('Step 4 Stage Discharge'!E$26:F$126,MATCH(C549,'Step 4 Stage Discharge'!E$26:E$126,1),1))</f>
        <v>0</v>
      </c>
      <c r="E549" s="219">
        <f>INDEX('Step 4 Stage Discharge'!E$26:M$126,MATCH(C549,'Step 4 Stage Discharge'!E$26:E$126,1),9)+(INDEX('Step 4 Stage Discharge'!E$26:M$126,MATCH('Step 6 Quality Check'!C549,'Step 4 Stage Discharge'!E$26:E$126,1)+1,9)-INDEX('Step 4 Stage Discharge'!E$26:M$126,MATCH('Step 6 Quality Check'!C549,'Step 4 Stage Discharge'!E$26:E$126,1),9))*('Step 6 Quality Check'!C549-INDEX('Step 4 Stage Discharge'!E$26:M$126,MATCH('Step 6 Quality Check'!C549,'Step 4 Stage Discharge'!E$26:E$126,1),1))/(INDEX('Step 4 Stage Discharge'!E$26:M$126,MATCH('Step 6 Quality Check'!C549,'Step 4 Stage Discharge'!E$26:E$126,1)+1,1)-INDEX('Step 4 Stage Discharge'!E$26:M$126,MATCH('Step 6 Quality Check'!C549,'Step 4 Stage Discharge'!E$26:E$126,1),1))</f>
        <v>4.3639431710317386E-3</v>
      </c>
      <c r="F549" s="218">
        <f t="shared" si="40"/>
        <v>0</v>
      </c>
      <c r="G549" s="218">
        <f t="shared" si="41"/>
        <v>0</v>
      </c>
    </row>
    <row r="550" spans="1:7">
      <c r="A550" s="217">
        <f t="shared" si="42"/>
        <v>2670</v>
      </c>
      <c r="B550" s="216">
        <f t="shared" si="43"/>
        <v>99.1</v>
      </c>
      <c r="C550" s="218">
        <f t="shared" si="44"/>
        <v>0</v>
      </c>
      <c r="D550" s="219">
        <f>INDEX('Step 4 Stage Discharge'!E$26:F$126,MATCH(C550,'Step 4 Stage Discharge'!E$26:E$126,1),2)+(INDEX('Step 4 Stage Discharge'!E$26:F$126,MATCH(C550,'Step 4 Stage Discharge'!E$26:E$126,1)+1,2)-INDEX('Step 4 Stage Discharge'!E$26:F$126,MATCH(C550,'Step 4 Stage Discharge'!E$26:E$126,1),2))*(C550-INDEX('Step 4 Stage Discharge'!E$26:F$126,MATCH(C550,'Step 4 Stage Discharge'!E$26:E$126,1),1))/(INDEX('Step 4 Stage Discharge'!E$26:F$126,MATCH(C550,'Step 4 Stage Discharge'!E$26:E$126,1)+1,1)-INDEX('Step 4 Stage Discharge'!E$26:F$126,MATCH(C550,'Step 4 Stage Discharge'!E$26:E$126,1),1))</f>
        <v>0</v>
      </c>
      <c r="E550" s="219">
        <f>INDEX('Step 4 Stage Discharge'!E$26:M$126,MATCH(C550,'Step 4 Stage Discharge'!E$26:E$126,1),9)+(INDEX('Step 4 Stage Discharge'!E$26:M$126,MATCH('Step 6 Quality Check'!C550,'Step 4 Stage Discharge'!E$26:E$126,1)+1,9)-INDEX('Step 4 Stage Discharge'!E$26:M$126,MATCH('Step 6 Quality Check'!C550,'Step 4 Stage Discharge'!E$26:E$126,1),9))*('Step 6 Quality Check'!C550-INDEX('Step 4 Stage Discharge'!E$26:M$126,MATCH('Step 6 Quality Check'!C550,'Step 4 Stage Discharge'!E$26:E$126,1),1))/(INDEX('Step 4 Stage Discharge'!E$26:M$126,MATCH('Step 6 Quality Check'!C550,'Step 4 Stage Discharge'!E$26:E$126,1)+1,1)-INDEX('Step 4 Stage Discharge'!E$26:M$126,MATCH('Step 6 Quality Check'!C550,'Step 4 Stage Discharge'!E$26:E$126,1),1))</f>
        <v>4.3639431710317386E-3</v>
      </c>
      <c r="F550" s="218">
        <f t="shared" si="40"/>
        <v>0</v>
      </c>
      <c r="G550" s="218">
        <f t="shared" si="41"/>
        <v>0</v>
      </c>
    </row>
    <row r="551" spans="1:7">
      <c r="A551" s="217">
        <f t="shared" si="42"/>
        <v>2675</v>
      </c>
      <c r="B551" s="216">
        <f t="shared" si="43"/>
        <v>99.1</v>
      </c>
      <c r="C551" s="218">
        <f t="shared" si="44"/>
        <v>0</v>
      </c>
      <c r="D551" s="219">
        <f>INDEX('Step 4 Stage Discharge'!E$26:F$126,MATCH(C551,'Step 4 Stage Discharge'!E$26:E$126,1),2)+(INDEX('Step 4 Stage Discharge'!E$26:F$126,MATCH(C551,'Step 4 Stage Discharge'!E$26:E$126,1)+1,2)-INDEX('Step 4 Stage Discharge'!E$26:F$126,MATCH(C551,'Step 4 Stage Discharge'!E$26:E$126,1),2))*(C551-INDEX('Step 4 Stage Discharge'!E$26:F$126,MATCH(C551,'Step 4 Stage Discharge'!E$26:E$126,1),1))/(INDEX('Step 4 Stage Discharge'!E$26:F$126,MATCH(C551,'Step 4 Stage Discharge'!E$26:E$126,1)+1,1)-INDEX('Step 4 Stage Discharge'!E$26:F$126,MATCH(C551,'Step 4 Stage Discharge'!E$26:E$126,1),1))</f>
        <v>0</v>
      </c>
      <c r="E551" s="219">
        <f>INDEX('Step 4 Stage Discharge'!E$26:M$126,MATCH(C551,'Step 4 Stage Discharge'!E$26:E$126,1),9)+(INDEX('Step 4 Stage Discharge'!E$26:M$126,MATCH('Step 6 Quality Check'!C551,'Step 4 Stage Discharge'!E$26:E$126,1)+1,9)-INDEX('Step 4 Stage Discharge'!E$26:M$126,MATCH('Step 6 Quality Check'!C551,'Step 4 Stage Discharge'!E$26:E$126,1),9))*('Step 6 Quality Check'!C551-INDEX('Step 4 Stage Discharge'!E$26:M$126,MATCH('Step 6 Quality Check'!C551,'Step 4 Stage Discharge'!E$26:E$126,1),1))/(INDEX('Step 4 Stage Discharge'!E$26:M$126,MATCH('Step 6 Quality Check'!C551,'Step 4 Stage Discharge'!E$26:E$126,1)+1,1)-INDEX('Step 4 Stage Discharge'!E$26:M$126,MATCH('Step 6 Quality Check'!C551,'Step 4 Stage Discharge'!E$26:E$126,1),1))</f>
        <v>4.3639431710317386E-3</v>
      </c>
      <c r="F551" s="218">
        <f t="shared" si="40"/>
        <v>0</v>
      </c>
      <c r="G551" s="218">
        <f t="shared" si="41"/>
        <v>0</v>
      </c>
    </row>
    <row r="552" spans="1:7">
      <c r="A552" s="217">
        <f t="shared" si="42"/>
        <v>2680</v>
      </c>
      <c r="B552" s="216">
        <f t="shared" si="43"/>
        <v>99.1</v>
      </c>
      <c r="C552" s="218">
        <f t="shared" si="44"/>
        <v>0</v>
      </c>
      <c r="D552" s="219">
        <f>INDEX('Step 4 Stage Discharge'!E$26:F$126,MATCH(C552,'Step 4 Stage Discharge'!E$26:E$126,1),2)+(INDEX('Step 4 Stage Discharge'!E$26:F$126,MATCH(C552,'Step 4 Stage Discharge'!E$26:E$126,1)+1,2)-INDEX('Step 4 Stage Discharge'!E$26:F$126,MATCH(C552,'Step 4 Stage Discharge'!E$26:E$126,1),2))*(C552-INDEX('Step 4 Stage Discharge'!E$26:F$126,MATCH(C552,'Step 4 Stage Discharge'!E$26:E$126,1),1))/(INDEX('Step 4 Stage Discharge'!E$26:F$126,MATCH(C552,'Step 4 Stage Discharge'!E$26:E$126,1)+1,1)-INDEX('Step 4 Stage Discharge'!E$26:F$126,MATCH(C552,'Step 4 Stage Discharge'!E$26:E$126,1),1))</f>
        <v>0</v>
      </c>
      <c r="E552" s="219">
        <f>INDEX('Step 4 Stage Discharge'!E$26:M$126,MATCH(C552,'Step 4 Stage Discharge'!E$26:E$126,1),9)+(INDEX('Step 4 Stage Discharge'!E$26:M$126,MATCH('Step 6 Quality Check'!C552,'Step 4 Stage Discharge'!E$26:E$126,1)+1,9)-INDEX('Step 4 Stage Discharge'!E$26:M$126,MATCH('Step 6 Quality Check'!C552,'Step 4 Stage Discharge'!E$26:E$126,1),9))*('Step 6 Quality Check'!C552-INDEX('Step 4 Stage Discharge'!E$26:M$126,MATCH('Step 6 Quality Check'!C552,'Step 4 Stage Discharge'!E$26:E$126,1),1))/(INDEX('Step 4 Stage Discharge'!E$26:M$126,MATCH('Step 6 Quality Check'!C552,'Step 4 Stage Discharge'!E$26:E$126,1)+1,1)-INDEX('Step 4 Stage Discharge'!E$26:M$126,MATCH('Step 6 Quality Check'!C552,'Step 4 Stage Discharge'!E$26:E$126,1),1))</f>
        <v>4.3639431710317386E-3</v>
      </c>
      <c r="F552" s="218">
        <f t="shared" si="40"/>
        <v>0</v>
      </c>
      <c r="G552" s="218">
        <f t="shared" si="41"/>
        <v>0</v>
      </c>
    </row>
    <row r="553" spans="1:7">
      <c r="A553" s="217">
        <f t="shared" si="42"/>
        <v>2685</v>
      </c>
      <c r="B553" s="216">
        <f t="shared" si="43"/>
        <v>99.1</v>
      </c>
      <c r="C553" s="218">
        <f t="shared" si="44"/>
        <v>0</v>
      </c>
      <c r="D553" s="219">
        <f>INDEX('Step 4 Stage Discharge'!E$26:F$126,MATCH(C553,'Step 4 Stage Discharge'!E$26:E$126,1),2)+(INDEX('Step 4 Stage Discharge'!E$26:F$126,MATCH(C553,'Step 4 Stage Discharge'!E$26:E$126,1)+1,2)-INDEX('Step 4 Stage Discharge'!E$26:F$126,MATCH(C553,'Step 4 Stage Discharge'!E$26:E$126,1),2))*(C553-INDEX('Step 4 Stage Discharge'!E$26:F$126,MATCH(C553,'Step 4 Stage Discharge'!E$26:E$126,1),1))/(INDEX('Step 4 Stage Discharge'!E$26:F$126,MATCH(C553,'Step 4 Stage Discharge'!E$26:E$126,1)+1,1)-INDEX('Step 4 Stage Discharge'!E$26:F$126,MATCH(C553,'Step 4 Stage Discharge'!E$26:E$126,1),1))</f>
        <v>0</v>
      </c>
      <c r="E553" s="219">
        <f>INDEX('Step 4 Stage Discharge'!E$26:M$126,MATCH(C553,'Step 4 Stage Discharge'!E$26:E$126,1),9)+(INDEX('Step 4 Stage Discharge'!E$26:M$126,MATCH('Step 6 Quality Check'!C553,'Step 4 Stage Discharge'!E$26:E$126,1)+1,9)-INDEX('Step 4 Stage Discharge'!E$26:M$126,MATCH('Step 6 Quality Check'!C553,'Step 4 Stage Discharge'!E$26:E$126,1),9))*('Step 6 Quality Check'!C553-INDEX('Step 4 Stage Discharge'!E$26:M$126,MATCH('Step 6 Quality Check'!C553,'Step 4 Stage Discharge'!E$26:E$126,1),1))/(INDEX('Step 4 Stage Discharge'!E$26:M$126,MATCH('Step 6 Quality Check'!C553,'Step 4 Stage Discharge'!E$26:E$126,1)+1,1)-INDEX('Step 4 Stage Discharge'!E$26:M$126,MATCH('Step 6 Quality Check'!C553,'Step 4 Stage Discharge'!E$26:E$126,1),1))</f>
        <v>4.3639431710317386E-3</v>
      </c>
      <c r="F553" s="218">
        <f t="shared" si="40"/>
        <v>0</v>
      </c>
      <c r="G553" s="218">
        <f t="shared" si="41"/>
        <v>0</v>
      </c>
    </row>
    <row r="554" spans="1:7">
      <c r="A554" s="217">
        <f t="shared" si="42"/>
        <v>2690</v>
      </c>
      <c r="B554" s="216">
        <f t="shared" si="43"/>
        <v>99.1</v>
      </c>
      <c r="C554" s="218">
        <f t="shared" si="44"/>
        <v>0</v>
      </c>
      <c r="D554" s="219">
        <f>INDEX('Step 4 Stage Discharge'!E$26:F$126,MATCH(C554,'Step 4 Stage Discharge'!E$26:E$126,1),2)+(INDEX('Step 4 Stage Discharge'!E$26:F$126,MATCH(C554,'Step 4 Stage Discharge'!E$26:E$126,1)+1,2)-INDEX('Step 4 Stage Discharge'!E$26:F$126,MATCH(C554,'Step 4 Stage Discharge'!E$26:E$126,1),2))*(C554-INDEX('Step 4 Stage Discharge'!E$26:F$126,MATCH(C554,'Step 4 Stage Discharge'!E$26:E$126,1),1))/(INDEX('Step 4 Stage Discharge'!E$26:F$126,MATCH(C554,'Step 4 Stage Discharge'!E$26:E$126,1)+1,1)-INDEX('Step 4 Stage Discharge'!E$26:F$126,MATCH(C554,'Step 4 Stage Discharge'!E$26:E$126,1),1))</f>
        <v>0</v>
      </c>
      <c r="E554" s="219">
        <f>INDEX('Step 4 Stage Discharge'!E$26:M$126,MATCH(C554,'Step 4 Stage Discharge'!E$26:E$126,1),9)+(INDEX('Step 4 Stage Discharge'!E$26:M$126,MATCH('Step 6 Quality Check'!C554,'Step 4 Stage Discharge'!E$26:E$126,1)+1,9)-INDEX('Step 4 Stage Discharge'!E$26:M$126,MATCH('Step 6 Quality Check'!C554,'Step 4 Stage Discharge'!E$26:E$126,1),9))*('Step 6 Quality Check'!C554-INDEX('Step 4 Stage Discharge'!E$26:M$126,MATCH('Step 6 Quality Check'!C554,'Step 4 Stage Discharge'!E$26:E$126,1),1))/(INDEX('Step 4 Stage Discharge'!E$26:M$126,MATCH('Step 6 Quality Check'!C554,'Step 4 Stage Discharge'!E$26:E$126,1)+1,1)-INDEX('Step 4 Stage Discharge'!E$26:M$126,MATCH('Step 6 Quality Check'!C554,'Step 4 Stage Discharge'!E$26:E$126,1),1))</f>
        <v>4.3639431710317386E-3</v>
      </c>
      <c r="F554" s="218">
        <f t="shared" si="40"/>
        <v>0</v>
      </c>
      <c r="G554" s="218">
        <f t="shared" si="41"/>
        <v>0</v>
      </c>
    </row>
    <row r="555" spans="1:7">
      <c r="A555" s="217">
        <f t="shared" si="42"/>
        <v>2695</v>
      </c>
      <c r="B555" s="216">
        <f t="shared" si="43"/>
        <v>99.1</v>
      </c>
      <c r="C555" s="218">
        <f t="shared" si="44"/>
        <v>0</v>
      </c>
      <c r="D555" s="219">
        <f>INDEX('Step 4 Stage Discharge'!E$26:F$126,MATCH(C555,'Step 4 Stage Discharge'!E$26:E$126,1),2)+(INDEX('Step 4 Stage Discharge'!E$26:F$126,MATCH(C555,'Step 4 Stage Discharge'!E$26:E$126,1)+1,2)-INDEX('Step 4 Stage Discharge'!E$26:F$126,MATCH(C555,'Step 4 Stage Discharge'!E$26:E$126,1),2))*(C555-INDEX('Step 4 Stage Discharge'!E$26:F$126,MATCH(C555,'Step 4 Stage Discharge'!E$26:E$126,1),1))/(INDEX('Step 4 Stage Discharge'!E$26:F$126,MATCH(C555,'Step 4 Stage Discharge'!E$26:E$126,1)+1,1)-INDEX('Step 4 Stage Discharge'!E$26:F$126,MATCH(C555,'Step 4 Stage Discharge'!E$26:E$126,1),1))</f>
        <v>0</v>
      </c>
      <c r="E555" s="219">
        <f>INDEX('Step 4 Stage Discharge'!E$26:M$126,MATCH(C555,'Step 4 Stage Discharge'!E$26:E$126,1),9)+(INDEX('Step 4 Stage Discharge'!E$26:M$126,MATCH('Step 6 Quality Check'!C555,'Step 4 Stage Discharge'!E$26:E$126,1)+1,9)-INDEX('Step 4 Stage Discharge'!E$26:M$126,MATCH('Step 6 Quality Check'!C555,'Step 4 Stage Discharge'!E$26:E$126,1),9))*('Step 6 Quality Check'!C555-INDEX('Step 4 Stage Discharge'!E$26:M$126,MATCH('Step 6 Quality Check'!C555,'Step 4 Stage Discharge'!E$26:E$126,1),1))/(INDEX('Step 4 Stage Discharge'!E$26:M$126,MATCH('Step 6 Quality Check'!C555,'Step 4 Stage Discharge'!E$26:E$126,1)+1,1)-INDEX('Step 4 Stage Discharge'!E$26:M$126,MATCH('Step 6 Quality Check'!C555,'Step 4 Stage Discharge'!E$26:E$126,1),1))</f>
        <v>4.3639431710317386E-3</v>
      </c>
      <c r="F555" s="218">
        <f t="shared" si="40"/>
        <v>0</v>
      </c>
      <c r="G555" s="218">
        <f t="shared" si="41"/>
        <v>0</v>
      </c>
    </row>
    <row r="556" spans="1:7">
      <c r="A556" s="217">
        <f t="shared" si="42"/>
        <v>2700</v>
      </c>
      <c r="B556" s="216">
        <f t="shared" si="43"/>
        <v>99.1</v>
      </c>
      <c r="C556" s="218">
        <f t="shared" si="44"/>
        <v>0</v>
      </c>
      <c r="D556" s="219">
        <f>INDEX('Step 4 Stage Discharge'!E$26:F$126,MATCH(C556,'Step 4 Stage Discharge'!E$26:E$126,1),2)+(INDEX('Step 4 Stage Discharge'!E$26:F$126,MATCH(C556,'Step 4 Stage Discharge'!E$26:E$126,1)+1,2)-INDEX('Step 4 Stage Discharge'!E$26:F$126,MATCH(C556,'Step 4 Stage Discharge'!E$26:E$126,1),2))*(C556-INDEX('Step 4 Stage Discharge'!E$26:F$126,MATCH(C556,'Step 4 Stage Discharge'!E$26:E$126,1),1))/(INDEX('Step 4 Stage Discharge'!E$26:F$126,MATCH(C556,'Step 4 Stage Discharge'!E$26:E$126,1)+1,1)-INDEX('Step 4 Stage Discharge'!E$26:F$126,MATCH(C556,'Step 4 Stage Discharge'!E$26:E$126,1),1))</f>
        <v>0</v>
      </c>
      <c r="E556" s="219">
        <f>INDEX('Step 4 Stage Discharge'!E$26:M$126,MATCH(C556,'Step 4 Stage Discharge'!E$26:E$126,1),9)+(INDEX('Step 4 Stage Discharge'!E$26:M$126,MATCH('Step 6 Quality Check'!C556,'Step 4 Stage Discharge'!E$26:E$126,1)+1,9)-INDEX('Step 4 Stage Discharge'!E$26:M$126,MATCH('Step 6 Quality Check'!C556,'Step 4 Stage Discharge'!E$26:E$126,1),9))*('Step 6 Quality Check'!C556-INDEX('Step 4 Stage Discharge'!E$26:M$126,MATCH('Step 6 Quality Check'!C556,'Step 4 Stage Discharge'!E$26:E$126,1),1))/(INDEX('Step 4 Stage Discharge'!E$26:M$126,MATCH('Step 6 Quality Check'!C556,'Step 4 Stage Discharge'!E$26:E$126,1)+1,1)-INDEX('Step 4 Stage Discharge'!E$26:M$126,MATCH('Step 6 Quality Check'!C556,'Step 4 Stage Discharge'!E$26:E$126,1),1))</f>
        <v>4.3639431710317386E-3</v>
      </c>
      <c r="F556" s="218">
        <f t="shared" si="40"/>
        <v>0</v>
      </c>
      <c r="G556" s="218">
        <f t="shared" si="41"/>
        <v>0</v>
      </c>
    </row>
    <row r="557" spans="1:7">
      <c r="A557" s="217">
        <f t="shared" si="42"/>
        <v>2705</v>
      </c>
      <c r="B557" s="216">
        <f t="shared" si="43"/>
        <v>99.1</v>
      </c>
      <c r="C557" s="218">
        <f t="shared" si="44"/>
        <v>0</v>
      </c>
      <c r="D557" s="219">
        <f>INDEX('Step 4 Stage Discharge'!E$26:F$126,MATCH(C557,'Step 4 Stage Discharge'!E$26:E$126,1),2)+(INDEX('Step 4 Stage Discharge'!E$26:F$126,MATCH(C557,'Step 4 Stage Discharge'!E$26:E$126,1)+1,2)-INDEX('Step 4 Stage Discharge'!E$26:F$126,MATCH(C557,'Step 4 Stage Discharge'!E$26:E$126,1),2))*(C557-INDEX('Step 4 Stage Discharge'!E$26:F$126,MATCH(C557,'Step 4 Stage Discharge'!E$26:E$126,1),1))/(INDEX('Step 4 Stage Discharge'!E$26:F$126,MATCH(C557,'Step 4 Stage Discharge'!E$26:E$126,1)+1,1)-INDEX('Step 4 Stage Discharge'!E$26:F$126,MATCH(C557,'Step 4 Stage Discharge'!E$26:E$126,1),1))</f>
        <v>0</v>
      </c>
      <c r="E557" s="219">
        <f>INDEX('Step 4 Stage Discharge'!E$26:M$126,MATCH(C557,'Step 4 Stage Discharge'!E$26:E$126,1),9)+(INDEX('Step 4 Stage Discharge'!E$26:M$126,MATCH('Step 6 Quality Check'!C557,'Step 4 Stage Discharge'!E$26:E$126,1)+1,9)-INDEX('Step 4 Stage Discharge'!E$26:M$126,MATCH('Step 6 Quality Check'!C557,'Step 4 Stage Discharge'!E$26:E$126,1),9))*('Step 6 Quality Check'!C557-INDEX('Step 4 Stage Discharge'!E$26:M$126,MATCH('Step 6 Quality Check'!C557,'Step 4 Stage Discharge'!E$26:E$126,1),1))/(INDEX('Step 4 Stage Discharge'!E$26:M$126,MATCH('Step 6 Quality Check'!C557,'Step 4 Stage Discharge'!E$26:E$126,1)+1,1)-INDEX('Step 4 Stage Discharge'!E$26:M$126,MATCH('Step 6 Quality Check'!C557,'Step 4 Stage Discharge'!E$26:E$126,1),1))</f>
        <v>4.3639431710317386E-3</v>
      </c>
      <c r="F557" s="218">
        <f t="shared" si="40"/>
        <v>0</v>
      </c>
      <c r="G557" s="218">
        <f t="shared" si="41"/>
        <v>0</v>
      </c>
    </row>
    <row r="558" spans="1:7">
      <c r="A558" s="217">
        <f t="shared" si="42"/>
        <v>2710</v>
      </c>
      <c r="B558" s="216">
        <f t="shared" si="43"/>
        <v>99.1</v>
      </c>
      <c r="C558" s="218">
        <f t="shared" si="44"/>
        <v>0</v>
      </c>
      <c r="D558" s="219">
        <f>INDEX('Step 4 Stage Discharge'!E$26:F$126,MATCH(C558,'Step 4 Stage Discharge'!E$26:E$126,1),2)+(INDEX('Step 4 Stage Discharge'!E$26:F$126,MATCH(C558,'Step 4 Stage Discharge'!E$26:E$126,1)+1,2)-INDEX('Step 4 Stage Discharge'!E$26:F$126,MATCH(C558,'Step 4 Stage Discharge'!E$26:E$126,1),2))*(C558-INDEX('Step 4 Stage Discharge'!E$26:F$126,MATCH(C558,'Step 4 Stage Discharge'!E$26:E$126,1),1))/(INDEX('Step 4 Stage Discharge'!E$26:F$126,MATCH(C558,'Step 4 Stage Discharge'!E$26:E$126,1)+1,1)-INDEX('Step 4 Stage Discharge'!E$26:F$126,MATCH(C558,'Step 4 Stage Discharge'!E$26:E$126,1),1))</f>
        <v>0</v>
      </c>
      <c r="E558" s="219">
        <f>INDEX('Step 4 Stage Discharge'!E$26:M$126,MATCH(C558,'Step 4 Stage Discharge'!E$26:E$126,1),9)+(INDEX('Step 4 Stage Discharge'!E$26:M$126,MATCH('Step 6 Quality Check'!C558,'Step 4 Stage Discharge'!E$26:E$126,1)+1,9)-INDEX('Step 4 Stage Discharge'!E$26:M$126,MATCH('Step 6 Quality Check'!C558,'Step 4 Stage Discharge'!E$26:E$126,1),9))*('Step 6 Quality Check'!C558-INDEX('Step 4 Stage Discharge'!E$26:M$126,MATCH('Step 6 Quality Check'!C558,'Step 4 Stage Discharge'!E$26:E$126,1),1))/(INDEX('Step 4 Stage Discharge'!E$26:M$126,MATCH('Step 6 Quality Check'!C558,'Step 4 Stage Discharge'!E$26:E$126,1)+1,1)-INDEX('Step 4 Stage Discharge'!E$26:M$126,MATCH('Step 6 Quality Check'!C558,'Step 4 Stage Discharge'!E$26:E$126,1),1))</f>
        <v>4.3639431710317386E-3</v>
      </c>
      <c r="F558" s="218">
        <f t="shared" si="40"/>
        <v>0</v>
      </c>
      <c r="G558" s="218">
        <f t="shared" si="41"/>
        <v>0</v>
      </c>
    </row>
    <row r="559" spans="1:7">
      <c r="A559" s="217">
        <f t="shared" si="42"/>
        <v>2715</v>
      </c>
      <c r="B559" s="216">
        <f t="shared" si="43"/>
        <v>99.1</v>
      </c>
      <c r="C559" s="218">
        <f t="shared" si="44"/>
        <v>0</v>
      </c>
      <c r="D559" s="219">
        <f>INDEX('Step 4 Stage Discharge'!E$26:F$126,MATCH(C559,'Step 4 Stage Discharge'!E$26:E$126,1),2)+(INDEX('Step 4 Stage Discharge'!E$26:F$126,MATCH(C559,'Step 4 Stage Discharge'!E$26:E$126,1)+1,2)-INDEX('Step 4 Stage Discharge'!E$26:F$126,MATCH(C559,'Step 4 Stage Discharge'!E$26:E$126,1),2))*(C559-INDEX('Step 4 Stage Discharge'!E$26:F$126,MATCH(C559,'Step 4 Stage Discharge'!E$26:E$126,1),1))/(INDEX('Step 4 Stage Discharge'!E$26:F$126,MATCH(C559,'Step 4 Stage Discharge'!E$26:E$126,1)+1,1)-INDEX('Step 4 Stage Discharge'!E$26:F$126,MATCH(C559,'Step 4 Stage Discharge'!E$26:E$126,1),1))</f>
        <v>0</v>
      </c>
      <c r="E559" s="219">
        <f>INDEX('Step 4 Stage Discharge'!E$26:M$126,MATCH(C559,'Step 4 Stage Discharge'!E$26:E$126,1),9)+(INDEX('Step 4 Stage Discharge'!E$26:M$126,MATCH('Step 6 Quality Check'!C559,'Step 4 Stage Discharge'!E$26:E$126,1)+1,9)-INDEX('Step 4 Stage Discharge'!E$26:M$126,MATCH('Step 6 Quality Check'!C559,'Step 4 Stage Discharge'!E$26:E$126,1),9))*('Step 6 Quality Check'!C559-INDEX('Step 4 Stage Discharge'!E$26:M$126,MATCH('Step 6 Quality Check'!C559,'Step 4 Stage Discharge'!E$26:E$126,1),1))/(INDEX('Step 4 Stage Discharge'!E$26:M$126,MATCH('Step 6 Quality Check'!C559,'Step 4 Stage Discharge'!E$26:E$126,1)+1,1)-INDEX('Step 4 Stage Discharge'!E$26:M$126,MATCH('Step 6 Quality Check'!C559,'Step 4 Stage Discharge'!E$26:E$126,1),1))</f>
        <v>4.3639431710317386E-3</v>
      </c>
      <c r="F559" s="218">
        <f t="shared" si="40"/>
        <v>0</v>
      </c>
      <c r="G559" s="218">
        <f t="shared" si="41"/>
        <v>0</v>
      </c>
    </row>
    <row r="560" spans="1:7">
      <c r="A560" s="217">
        <f t="shared" si="42"/>
        <v>2720</v>
      </c>
      <c r="B560" s="216">
        <f t="shared" si="43"/>
        <v>99.1</v>
      </c>
      <c r="C560" s="218">
        <f t="shared" si="44"/>
        <v>0</v>
      </c>
      <c r="D560" s="219">
        <f>INDEX('Step 4 Stage Discharge'!E$26:F$126,MATCH(C560,'Step 4 Stage Discharge'!E$26:E$126,1),2)+(INDEX('Step 4 Stage Discharge'!E$26:F$126,MATCH(C560,'Step 4 Stage Discharge'!E$26:E$126,1)+1,2)-INDEX('Step 4 Stage Discharge'!E$26:F$126,MATCH(C560,'Step 4 Stage Discharge'!E$26:E$126,1),2))*(C560-INDEX('Step 4 Stage Discharge'!E$26:F$126,MATCH(C560,'Step 4 Stage Discharge'!E$26:E$126,1),1))/(INDEX('Step 4 Stage Discharge'!E$26:F$126,MATCH(C560,'Step 4 Stage Discharge'!E$26:E$126,1)+1,1)-INDEX('Step 4 Stage Discharge'!E$26:F$126,MATCH(C560,'Step 4 Stage Discharge'!E$26:E$126,1),1))</f>
        <v>0</v>
      </c>
      <c r="E560" s="219">
        <f>INDEX('Step 4 Stage Discharge'!E$26:M$126,MATCH(C560,'Step 4 Stage Discharge'!E$26:E$126,1),9)+(INDEX('Step 4 Stage Discharge'!E$26:M$126,MATCH('Step 6 Quality Check'!C560,'Step 4 Stage Discharge'!E$26:E$126,1)+1,9)-INDEX('Step 4 Stage Discharge'!E$26:M$126,MATCH('Step 6 Quality Check'!C560,'Step 4 Stage Discharge'!E$26:E$126,1),9))*('Step 6 Quality Check'!C560-INDEX('Step 4 Stage Discharge'!E$26:M$126,MATCH('Step 6 Quality Check'!C560,'Step 4 Stage Discharge'!E$26:E$126,1),1))/(INDEX('Step 4 Stage Discharge'!E$26:M$126,MATCH('Step 6 Quality Check'!C560,'Step 4 Stage Discharge'!E$26:E$126,1)+1,1)-INDEX('Step 4 Stage Discharge'!E$26:M$126,MATCH('Step 6 Quality Check'!C560,'Step 4 Stage Discharge'!E$26:E$126,1),1))</f>
        <v>4.3639431710317386E-3</v>
      </c>
      <c r="F560" s="218">
        <f t="shared" si="40"/>
        <v>0</v>
      </c>
      <c r="G560" s="218">
        <f t="shared" si="41"/>
        <v>0</v>
      </c>
    </row>
    <row r="561" spans="1:7">
      <c r="A561" s="217">
        <f t="shared" si="42"/>
        <v>2725</v>
      </c>
      <c r="B561" s="216">
        <f t="shared" si="43"/>
        <v>99.1</v>
      </c>
      <c r="C561" s="218">
        <f t="shared" si="44"/>
        <v>0</v>
      </c>
      <c r="D561" s="219">
        <f>INDEX('Step 4 Stage Discharge'!E$26:F$126,MATCH(C561,'Step 4 Stage Discharge'!E$26:E$126,1),2)+(INDEX('Step 4 Stage Discharge'!E$26:F$126,MATCH(C561,'Step 4 Stage Discharge'!E$26:E$126,1)+1,2)-INDEX('Step 4 Stage Discharge'!E$26:F$126,MATCH(C561,'Step 4 Stage Discharge'!E$26:E$126,1),2))*(C561-INDEX('Step 4 Stage Discharge'!E$26:F$126,MATCH(C561,'Step 4 Stage Discharge'!E$26:E$126,1),1))/(INDEX('Step 4 Stage Discharge'!E$26:F$126,MATCH(C561,'Step 4 Stage Discharge'!E$26:E$126,1)+1,1)-INDEX('Step 4 Stage Discharge'!E$26:F$126,MATCH(C561,'Step 4 Stage Discharge'!E$26:E$126,1),1))</f>
        <v>0</v>
      </c>
      <c r="E561" s="219">
        <f>INDEX('Step 4 Stage Discharge'!E$26:M$126,MATCH(C561,'Step 4 Stage Discharge'!E$26:E$126,1),9)+(INDEX('Step 4 Stage Discharge'!E$26:M$126,MATCH('Step 6 Quality Check'!C561,'Step 4 Stage Discharge'!E$26:E$126,1)+1,9)-INDEX('Step 4 Stage Discharge'!E$26:M$126,MATCH('Step 6 Quality Check'!C561,'Step 4 Stage Discharge'!E$26:E$126,1),9))*('Step 6 Quality Check'!C561-INDEX('Step 4 Stage Discharge'!E$26:M$126,MATCH('Step 6 Quality Check'!C561,'Step 4 Stage Discharge'!E$26:E$126,1),1))/(INDEX('Step 4 Stage Discharge'!E$26:M$126,MATCH('Step 6 Quality Check'!C561,'Step 4 Stage Discharge'!E$26:E$126,1)+1,1)-INDEX('Step 4 Stage Discharge'!E$26:M$126,MATCH('Step 6 Quality Check'!C561,'Step 4 Stage Discharge'!E$26:E$126,1),1))</f>
        <v>4.3639431710317386E-3</v>
      </c>
      <c r="F561" s="218">
        <f t="shared" si="40"/>
        <v>0</v>
      </c>
      <c r="G561" s="218">
        <f t="shared" si="41"/>
        <v>0</v>
      </c>
    </row>
    <row r="562" spans="1:7">
      <c r="A562" s="217">
        <f t="shared" si="42"/>
        <v>2730</v>
      </c>
      <c r="B562" s="216">
        <f t="shared" si="43"/>
        <v>99.1</v>
      </c>
      <c r="C562" s="218">
        <f t="shared" si="44"/>
        <v>0</v>
      </c>
      <c r="D562" s="219">
        <f>INDEX('Step 4 Stage Discharge'!E$26:F$126,MATCH(C562,'Step 4 Stage Discharge'!E$26:E$126,1),2)+(INDEX('Step 4 Stage Discharge'!E$26:F$126,MATCH(C562,'Step 4 Stage Discharge'!E$26:E$126,1)+1,2)-INDEX('Step 4 Stage Discharge'!E$26:F$126,MATCH(C562,'Step 4 Stage Discharge'!E$26:E$126,1),2))*(C562-INDEX('Step 4 Stage Discharge'!E$26:F$126,MATCH(C562,'Step 4 Stage Discharge'!E$26:E$126,1),1))/(INDEX('Step 4 Stage Discharge'!E$26:F$126,MATCH(C562,'Step 4 Stage Discharge'!E$26:E$126,1)+1,1)-INDEX('Step 4 Stage Discharge'!E$26:F$126,MATCH(C562,'Step 4 Stage Discharge'!E$26:E$126,1),1))</f>
        <v>0</v>
      </c>
      <c r="E562" s="219">
        <f>INDEX('Step 4 Stage Discharge'!E$26:M$126,MATCH(C562,'Step 4 Stage Discharge'!E$26:E$126,1),9)+(INDEX('Step 4 Stage Discharge'!E$26:M$126,MATCH('Step 6 Quality Check'!C562,'Step 4 Stage Discharge'!E$26:E$126,1)+1,9)-INDEX('Step 4 Stage Discharge'!E$26:M$126,MATCH('Step 6 Quality Check'!C562,'Step 4 Stage Discharge'!E$26:E$126,1),9))*('Step 6 Quality Check'!C562-INDEX('Step 4 Stage Discharge'!E$26:M$126,MATCH('Step 6 Quality Check'!C562,'Step 4 Stage Discharge'!E$26:E$126,1),1))/(INDEX('Step 4 Stage Discharge'!E$26:M$126,MATCH('Step 6 Quality Check'!C562,'Step 4 Stage Discharge'!E$26:E$126,1)+1,1)-INDEX('Step 4 Stage Discharge'!E$26:M$126,MATCH('Step 6 Quality Check'!C562,'Step 4 Stage Discharge'!E$26:E$126,1),1))</f>
        <v>4.3639431710317386E-3</v>
      </c>
      <c r="F562" s="218">
        <f t="shared" si="40"/>
        <v>0</v>
      </c>
      <c r="G562" s="218">
        <f t="shared" si="41"/>
        <v>0</v>
      </c>
    </row>
    <row r="563" spans="1:7">
      <c r="A563" s="217">
        <f t="shared" si="42"/>
        <v>2735</v>
      </c>
      <c r="B563" s="216">
        <f t="shared" si="43"/>
        <v>99.1</v>
      </c>
      <c r="C563" s="218">
        <f t="shared" si="44"/>
        <v>0</v>
      </c>
      <c r="D563" s="219">
        <f>INDEX('Step 4 Stage Discharge'!E$26:F$126,MATCH(C563,'Step 4 Stage Discharge'!E$26:E$126,1),2)+(INDEX('Step 4 Stage Discharge'!E$26:F$126,MATCH(C563,'Step 4 Stage Discharge'!E$26:E$126,1)+1,2)-INDEX('Step 4 Stage Discharge'!E$26:F$126,MATCH(C563,'Step 4 Stage Discharge'!E$26:E$126,1),2))*(C563-INDEX('Step 4 Stage Discharge'!E$26:F$126,MATCH(C563,'Step 4 Stage Discharge'!E$26:E$126,1),1))/(INDEX('Step 4 Stage Discharge'!E$26:F$126,MATCH(C563,'Step 4 Stage Discharge'!E$26:E$126,1)+1,1)-INDEX('Step 4 Stage Discharge'!E$26:F$126,MATCH(C563,'Step 4 Stage Discharge'!E$26:E$126,1),1))</f>
        <v>0</v>
      </c>
      <c r="E563" s="219">
        <f>INDEX('Step 4 Stage Discharge'!E$26:M$126,MATCH(C563,'Step 4 Stage Discharge'!E$26:E$126,1),9)+(INDEX('Step 4 Stage Discharge'!E$26:M$126,MATCH('Step 6 Quality Check'!C563,'Step 4 Stage Discharge'!E$26:E$126,1)+1,9)-INDEX('Step 4 Stage Discharge'!E$26:M$126,MATCH('Step 6 Quality Check'!C563,'Step 4 Stage Discharge'!E$26:E$126,1),9))*('Step 6 Quality Check'!C563-INDEX('Step 4 Stage Discharge'!E$26:M$126,MATCH('Step 6 Quality Check'!C563,'Step 4 Stage Discharge'!E$26:E$126,1),1))/(INDEX('Step 4 Stage Discharge'!E$26:M$126,MATCH('Step 6 Quality Check'!C563,'Step 4 Stage Discharge'!E$26:E$126,1)+1,1)-INDEX('Step 4 Stage Discharge'!E$26:M$126,MATCH('Step 6 Quality Check'!C563,'Step 4 Stage Discharge'!E$26:E$126,1),1))</f>
        <v>4.3639431710317386E-3</v>
      </c>
      <c r="F563" s="218">
        <f t="shared" si="40"/>
        <v>0</v>
      </c>
      <c r="G563" s="218">
        <f t="shared" si="41"/>
        <v>0</v>
      </c>
    </row>
    <row r="564" spans="1:7">
      <c r="A564" s="217">
        <f t="shared" si="42"/>
        <v>2740</v>
      </c>
      <c r="B564" s="216">
        <f t="shared" si="43"/>
        <v>99.1</v>
      </c>
      <c r="C564" s="218">
        <f t="shared" si="44"/>
        <v>0</v>
      </c>
      <c r="D564" s="219">
        <f>INDEX('Step 4 Stage Discharge'!E$26:F$126,MATCH(C564,'Step 4 Stage Discharge'!E$26:E$126,1),2)+(INDEX('Step 4 Stage Discharge'!E$26:F$126,MATCH(C564,'Step 4 Stage Discharge'!E$26:E$126,1)+1,2)-INDEX('Step 4 Stage Discharge'!E$26:F$126,MATCH(C564,'Step 4 Stage Discharge'!E$26:E$126,1),2))*(C564-INDEX('Step 4 Stage Discharge'!E$26:F$126,MATCH(C564,'Step 4 Stage Discharge'!E$26:E$126,1),1))/(INDEX('Step 4 Stage Discharge'!E$26:F$126,MATCH(C564,'Step 4 Stage Discharge'!E$26:E$126,1)+1,1)-INDEX('Step 4 Stage Discharge'!E$26:F$126,MATCH(C564,'Step 4 Stage Discharge'!E$26:E$126,1),1))</f>
        <v>0</v>
      </c>
      <c r="E564" s="219">
        <f>INDEX('Step 4 Stage Discharge'!E$26:M$126,MATCH(C564,'Step 4 Stage Discharge'!E$26:E$126,1),9)+(INDEX('Step 4 Stage Discharge'!E$26:M$126,MATCH('Step 6 Quality Check'!C564,'Step 4 Stage Discharge'!E$26:E$126,1)+1,9)-INDEX('Step 4 Stage Discharge'!E$26:M$126,MATCH('Step 6 Quality Check'!C564,'Step 4 Stage Discharge'!E$26:E$126,1),9))*('Step 6 Quality Check'!C564-INDEX('Step 4 Stage Discharge'!E$26:M$126,MATCH('Step 6 Quality Check'!C564,'Step 4 Stage Discharge'!E$26:E$126,1),1))/(INDEX('Step 4 Stage Discharge'!E$26:M$126,MATCH('Step 6 Quality Check'!C564,'Step 4 Stage Discharge'!E$26:E$126,1)+1,1)-INDEX('Step 4 Stage Discharge'!E$26:M$126,MATCH('Step 6 Quality Check'!C564,'Step 4 Stage Discharge'!E$26:E$126,1),1))</f>
        <v>4.3639431710317386E-3</v>
      </c>
      <c r="F564" s="218">
        <f t="shared" si="40"/>
        <v>0</v>
      </c>
      <c r="G564" s="218">
        <f t="shared" si="41"/>
        <v>0</v>
      </c>
    </row>
    <row r="565" spans="1:7">
      <c r="A565" s="217">
        <f t="shared" si="42"/>
        <v>2745</v>
      </c>
      <c r="B565" s="216">
        <f t="shared" si="43"/>
        <v>99.1</v>
      </c>
      <c r="C565" s="218">
        <f t="shared" si="44"/>
        <v>0</v>
      </c>
      <c r="D565" s="219">
        <f>INDEX('Step 4 Stage Discharge'!E$26:F$126,MATCH(C565,'Step 4 Stage Discharge'!E$26:E$126,1),2)+(INDEX('Step 4 Stage Discharge'!E$26:F$126,MATCH(C565,'Step 4 Stage Discharge'!E$26:E$126,1)+1,2)-INDEX('Step 4 Stage Discharge'!E$26:F$126,MATCH(C565,'Step 4 Stage Discharge'!E$26:E$126,1),2))*(C565-INDEX('Step 4 Stage Discharge'!E$26:F$126,MATCH(C565,'Step 4 Stage Discharge'!E$26:E$126,1),1))/(INDEX('Step 4 Stage Discharge'!E$26:F$126,MATCH(C565,'Step 4 Stage Discharge'!E$26:E$126,1)+1,1)-INDEX('Step 4 Stage Discharge'!E$26:F$126,MATCH(C565,'Step 4 Stage Discharge'!E$26:E$126,1),1))</f>
        <v>0</v>
      </c>
      <c r="E565" s="219">
        <f>INDEX('Step 4 Stage Discharge'!E$26:M$126,MATCH(C565,'Step 4 Stage Discharge'!E$26:E$126,1),9)+(INDEX('Step 4 Stage Discharge'!E$26:M$126,MATCH('Step 6 Quality Check'!C565,'Step 4 Stage Discharge'!E$26:E$126,1)+1,9)-INDEX('Step 4 Stage Discharge'!E$26:M$126,MATCH('Step 6 Quality Check'!C565,'Step 4 Stage Discharge'!E$26:E$126,1),9))*('Step 6 Quality Check'!C565-INDEX('Step 4 Stage Discharge'!E$26:M$126,MATCH('Step 6 Quality Check'!C565,'Step 4 Stage Discharge'!E$26:E$126,1),1))/(INDEX('Step 4 Stage Discharge'!E$26:M$126,MATCH('Step 6 Quality Check'!C565,'Step 4 Stage Discharge'!E$26:E$126,1)+1,1)-INDEX('Step 4 Stage Discharge'!E$26:M$126,MATCH('Step 6 Quality Check'!C565,'Step 4 Stage Discharge'!E$26:E$126,1),1))</f>
        <v>4.3639431710317386E-3</v>
      </c>
      <c r="F565" s="218">
        <f t="shared" si="40"/>
        <v>0</v>
      </c>
      <c r="G565" s="218">
        <f t="shared" si="41"/>
        <v>0</v>
      </c>
    </row>
    <row r="566" spans="1:7">
      <c r="A566" s="217">
        <f t="shared" si="42"/>
        <v>2750</v>
      </c>
      <c r="B566" s="216">
        <f t="shared" si="43"/>
        <v>99.1</v>
      </c>
      <c r="C566" s="218">
        <f t="shared" si="44"/>
        <v>0</v>
      </c>
      <c r="D566" s="219">
        <f>INDEX('Step 4 Stage Discharge'!E$26:F$126,MATCH(C566,'Step 4 Stage Discharge'!E$26:E$126,1),2)+(INDEX('Step 4 Stage Discharge'!E$26:F$126,MATCH(C566,'Step 4 Stage Discharge'!E$26:E$126,1)+1,2)-INDEX('Step 4 Stage Discharge'!E$26:F$126,MATCH(C566,'Step 4 Stage Discharge'!E$26:E$126,1),2))*(C566-INDEX('Step 4 Stage Discharge'!E$26:F$126,MATCH(C566,'Step 4 Stage Discharge'!E$26:E$126,1),1))/(INDEX('Step 4 Stage Discharge'!E$26:F$126,MATCH(C566,'Step 4 Stage Discharge'!E$26:E$126,1)+1,1)-INDEX('Step 4 Stage Discharge'!E$26:F$126,MATCH(C566,'Step 4 Stage Discharge'!E$26:E$126,1),1))</f>
        <v>0</v>
      </c>
      <c r="E566" s="219">
        <f>INDEX('Step 4 Stage Discharge'!E$26:M$126,MATCH(C566,'Step 4 Stage Discharge'!E$26:E$126,1),9)+(INDEX('Step 4 Stage Discharge'!E$26:M$126,MATCH('Step 6 Quality Check'!C566,'Step 4 Stage Discharge'!E$26:E$126,1)+1,9)-INDEX('Step 4 Stage Discharge'!E$26:M$126,MATCH('Step 6 Quality Check'!C566,'Step 4 Stage Discharge'!E$26:E$126,1),9))*('Step 6 Quality Check'!C566-INDEX('Step 4 Stage Discharge'!E$26:M$126,MATCH('Step 6 Quality Check'!C566,'Step 4 Stage Discharge'!E$26:E$126,1),1))/(INDEX('Step 4 Stage Discharge'!E$26:M$126,MATCH('Step 6 Quality Check'!C566,'Step 4 Stage Discharge'!E$26:E$126,1)+1,1)-INDEX('Step 4 Stage Discharge'!E$26:M$126,MATCH('Step 6 Quality Check'!C566,'Step 4 Stage Discharge'!E$26:E$126,1),1))</f>
        <v>4.3639431710317386E-3</v>
      </c>
      <c r="F566" s="218">
        <f t="shared" si="40"/>
        <v>0</v>
      </c>
      <c r="G566" s="218">
        <f t="shared" si="41"/>
        <v>0</v>
      </c>
    </row>
    <row r="567" spans="1:7">
      <c r="A567" s="217">
        <f t="shared" si="42"/>
        <v>2755</v>
      </c>
      <c r="B567" s="216">
        <f t="shared" si="43"/>
        <v>99.1</v>
      </c>
      <c r="C567" s="218">
        <f t="shared" si="44"/>
        <v>0</v>
      </c>
      <c r="D567" s="219">
        <f>INDEX('Step 4 Stage Discharge'!E$26:F$126,MATCH(C567,'Step 4 Stage Discharge'!E$26:E$126,1),2)+(INDEX('Step 4 Stage Discharge'!E$26:F$126,MATCH(C567,'Step 4 Stage Discharge'!E$26:E$126,1)+1,2)-INDEX('Step 4 Stage Discharge'!E$26:F$126,MATCH(C567,'Step 4 Stage Discharge'!E$26:E$126,1),2))*(C567-INDEX('Step 4 Stage Discharge'!E$26:F$126,MATCH(C567,'Step 4 Stage Discharge'!E$26:E$126,1),1))/(INDEX('Step 4 Stage Discharge'!E$26:F$126,MATCH(C567,'Step 4 Stage Discharge'!E$26:E$126,1)+1,1)-INDEX('Step 4 Stage Discharge'!E$26:F$126,MATCH(C567,'Step 4 Stage Discharge'!E$26:E$126,1),1))</f>
        <v>0</v>
      </c>
      <c r="E567" s="219">
        <f>INDEX('Step 4 Stage Discharge'!E$26:M$126,MATCH(C567,'Step 4 Stage Discharge'!E$26:E$126,1),9)+(INDEX('Step 4 Stage Discharge'!E$26:M$126,MATCH('Step 6 Quality Check'!C567,'Step 4 Stage Discharge'!E$26:E$126,1)+1,9)-INDEX('Step 4 Stage Discharge'!E$26:M$126,MATCH('Step 6 Quality Check'!C567,'Step 4 Stage Discharge'!E$26:E$126,1),9))*('Step 6 Quality Check'!C567-INDEX('Step 4 Stage Discharge'!E$26:M$126,MATCH('Step 6 Quality Check'!C567,'Step 4 Stage Discharge'!E$26:E$126,1),1))/(INDEX('Step 4 Stage Discharge'!E$26:M$126,MATCH('Step 6 Quality Check'!C567,'Step 4 Stage Discharge'!E$26:E$126,1)+1,1)-INDEX('Step 4 Stage Discharge'!E$26:M$126,MATCH('Step 6 Quality Check'!C567,'Step 4 Stage Discharge'!E$26:E$126,1),1))</f>
        <v>4.3639431710317386E-3</v>
      </c>
      <c r="F567" s="218">
        <f t="shared" si="40"/>
        <v>0</v>
      </c>
      <c r="G567" s="218">
        <f t="shared" si="41"/>
        <v>0</v>
      </c>
    </row>
    <row r="568" spans="1:7">
      <c r="A568" s="217">
        <f t="shared" si="42"/>
        <v>2760</v>
      </c>
      <c r="B568" s="216">
        <f t="shared" si="43"/>
        <v>99.1</v>
      </c>
      <c r="C568" s="218">
        <f t="shared" si="44"/>
        <v>0</v>
      </c>
      <c r="D568" s="219">
        <f>INDEX('Step 4 Stage Discharge'!E$26:F$126,MATCH(C568,'Step 4 Stage Discharge'!E$26:E$126,1),2)+(INDEX('Step 4 Stage Discharge'!E$26:F$126,MATCH(C568,'Step 4 Stage Discharge'!E$26:E$126,1)+1,2)-INDEX('Step 4 Stage Discharge'!E$26:F$126,MATCH(C568,'Step 4 Stage Discharge'!E$26:E$126,1),2))*(C568-INDEX('Step 4 Stage Discharge'!E$26:F$126,MATCH(C568,'Step 4 Stage Discharge'!E$26:E$126,1),1))/(INDEX('Step 4 Stage Discharge'!E$26:F$126,MATCH(C568,'Step 4 Stage Discharge'!E$26:E$126,1)+1,1)-INDEX('Step 4 Stage Discharge'!E$26:F$126,MATCH(C568,'Step 4 Stage Discharge'!E$26:E$126,1),1))</f>
        <v>0</v>
      </c>
      <c r="E568" s="219">
        <f>INDEX('Step 4 Stage Discharge'!E$26:M$126,MATCH(C568,'Step 4 Stage Discharge'!E$26:E$126,1),9)+(INDEX('Step 4 Stage Discharge'!E$26:M$126,MATCH('Step 6 Quality Check'!C568,'Step 4 Stage Discharge'!E$26:E$126,1)+1,9)-INDEX('Step 4 Stage Discharge'!E$26:M$126,MATCH('Step 6 Quality Check'!C568,'Step 4 Stage Discharge'!E$26:E$126,1),9))*('Step 6 Quality Check'!C568-INDEX('Step 4 Stage Discharge'!E$26:M$126,MATCH('Step 6 Quality Check'!C568,'Step 4 Stage Discharge'!E$26:E$126,1),1))/(INDEX('Step 4 Stage Discharge'!E$26:M$126,MATCH('Step 6 Quality Check'!C568,'Step 4 Stage Discharge'!E$26:E$126,1)+1,1)-INDEX('Step 4 Stage Discharge'!E$26:M$126,MATCH('Step 6 Quality Check'!C568,'Step 4 Stage Discharge'!E$26:E$126,1),1))</f>
        <v>4.3639431710317386E-3</v>
      </c>
      <c r="F568" s="218">
        <f t="shared" si="40"/>
        <v>0</v>
      </c>
      <c r="G568" s="218">
        <f t="shared" si="41"/>
        <v>0</v>
      </c>
    </row>
    <row r="569" spans="1:7">
      <c r="A569" s="217">
        <f t="shared" si="42"/>
        <v>2765</v>
      </c>
      <c r="B569" s="216">
        <f t="shared" si="43"/>
        <v>99.1</v>
      </c>
      <c r="C569" s="218">
        <f t="shared" si="44"/>
        <v>0</v>
      </c>
      <c r="D569" s="219">
        <f>INDEX('Step 4 Stage Discharge'!E$26:F$126,MATCH(C569,'Step 4 Stage Discharge'!E$26:E$126,1),2)+(INDEX('Step 4 Stage Discharge'!E$26:F$126,MATCH(C569,'Step 4 Stage Discharge'!E$26:E$126,1)+1,2)-INDEX('Step 4 Stage Discharge'!E$26:F$126,MATCH(C569,'Step 4 Stage Discharge'!E$26:E$126,1),2))*(C569-INDEX('Step 4 Stage Discharge'!E$26:F$126,MATCH(C569,'Step 4 Stage Discharge'!E$26:E$126,1),1))/(INDEX('Step 4 Stage Discharge'!E$26:F$126,MATCH(C569,'Step 4 Stage Discharge'!E$26:E$126,1)+1,1)-INDEX('Step 4 Stage Discharge'!E$26:F$126,MATCH(C569,'Step 4 Stage Discharge'!E$26:E$126,1),1))</f>
        <v>0</v>
      </c>
      <c r="E569" s="219">
        <f>INDEX('Step 4 Stage Discharge'!E$26:M$126,MATCH(C569,'Step 4 Stage Discharge'!E$26:E$126,1),9)+(INDEX('Step 4 Stage Discharge'!E$26:M$126,MATCH('Step 6 Quality Check'!C569,'Step 4 Stage Discharge'!E$26:E$126,1)+1,9)-INDEX('Step 4 Stage Discharge'!E$26:M$126,MATCH('Step 6 Quality Check'!C569,'Step 4 Stage Discharge'!E$26:E$126,1),9))*('Step 6 Quality Check'!C569-INDEX('Step 4 Stage Discharge'!E$26:M$126,MATCH('Step 6 Quality Check'!C569,'Step 4 Stage Discharge'!E$26:E$126,1),1))/(INDEX('Step 4 Stage Discharge'!E$26:M$126,MATCH('Step 6 Quality Check'!C569,'Step 4 Stage Discharge'!E$26:E$126,1)+1,1)-INDEX('Step 4 Stage Discharge'!E$26:M$126,MATCH('Step 6 Quality Check'!C569,'Step 4 Stage Discharge'!E$26:E$126,1),1))</f>
        <v>4.3639431710317386E-3</v>
      </c>
      <c r="F569" s="218">
        <f t="shared" si="40"/>
        <v>0</v>
      </c>
      <c r="G569" s="218">
        <f t="shared" si="41"/>
        <v>0</v>
      </c>
    </row>
    <row r="570" spans="1:7">
      <c r="A570" s="217">
        <f t="shared" si="42"/>
        <v>2770</v>
      </c>
      <c r="B570" s="216">
        <f t="shared" si="43"/>
        <v>99.1</v>
      </c>
      <c r="C570" s="218">
        <f t="shared" si="44"/>
        <v>0</v>
      </c>
      <c r="D570" s="219">
        <f>INDEX('Step 4 Stage Discharge'!E$26:F$126,MATCH(C570,'Step 4 Stage Discharge'!E$26:E$126,1),2)+(INDEX('Step 4 Stage Discharge'!E$26:F$126,MATCH(C570,'Step 4 Stage Discharge'!E$26:E$126,1)+1,2)-INDEX('Step 4 Stage Discharge'!E$26:F$126,MATCH(C570,'Step 4 Stage Discharge'!E$26:E$126,1),2))*(C570-INDEX('Step 4 Stage Discharge'!E$26:F$126,MATCH(C570,'Step 4 Stage Discharge'!E$26:E$126,1),1))/(INDEX('Step 4 Stage Discharge'!E$26:F$126,MATCH(C570,'Step 4 Stage Discharge'!E$26:E$126,1)+1,1)-INDEX('Step 4 Stage Discharge'!E$26:F$126,MATCH(C570,'Step 4 Stage Discharge'!E$26:E$126,1),1))</f>
        <v>0</v>
      </c>
      <c r="E570" s="219">
        <f>INDEX('Step 4 Stage Discharge'!E$26:M$126,MATCH(C570,'Step 4 Stage Discharge'!E$26:E$126,1),9)+(INDEX('Step 4 Stage Discharge'!E$26:M$126,MATCH('Step 6 Quality Check'!C570,'Step 4 Stage Discharge'!E$26:E$126,1)+1,9)-INDEX('Step 4 Stage Discharge'!E$26:M$126,MATCH('Step 6 Quality Check'!C570,'Step 4 Stage Discharge'!E$26:E$126,1),9))*('Step 6 Quality Check'!C570-INDEX('Step 4 Stage Discharge'!E$26:M$126,MATCH('Step 6 Quality Check'!C570,'Step 4 Stage Discharge'!E$26:E$126,1),1))/(INDEX('Step 4 Stage Discharge'!E$26:M$126,MATCH('Step 6 Quality Check'!C570,'Step 4 Stage Discharge'!E$26:E$126,1)+1,1)-INDEX('Step 4 Stage Discharge'!E$26:M$126,MATCH('Step 6 Quality Check'!C570,'Step 4 Stage Discharge'!E$26:E$126,1),1))</f>
        <v>4.3639431710317386E-3</v>
      </c>
      <c r="F570" s="218">
        <f t="shared" si="40"/>
        <v>0</v>
      </c>
      <c r="G570" s="218">
        <f t="shared" si="41"/>
        <v>0</v>
      </c>
    </row>
    <row r="571" spans="1:7">
      <c r="A571" s="217">
        <f t="shared" si="42"/>
        <v>2775</v>
      </c>
      <c r="B571" s="216">
        <f t="shared" si="43"/>
        <v>99.1</v>
      </c>
      <c r="C571" s="218">
        <f t="shared" si="44"/>
        <v>0</v>
      </c>
      <c r="D571" s="219">
        <f>INDEX('Step 4 Stage Discharge'!E$26:F$126,MATCH(C571,'Step 4 Stage Discharge'!E$26:E$126,1),2)+(INDEX('Step 4 Stage Discharge'!E$26:F$126,MATCH(C571,'Step 4 Stage Discharge'!E$26:E$126,1)+1,2)-INDEX('Step 4 Stage Discharge'!E$26:F$126,MATCH(C571,'Step 4 Stage Discharge'!E$26:E$126,1),2))*(C571-INDEX('Step 4 Stage Discharge'!E$26:F$126,MATCH(C571,'Step 4 Stage Discharge'!E$26:E$126,1),1))/(INDEX('Step 4 Stage Discharge'!E$26:F$126,MATCH(C571,'Step 4 Stage Discharge'!E$26:E$126,1)+1,1)-INDEX('Step 4 Stage Discharge'!E$26:F$126,MATCH(C571,'Step 4 Stage Discharge'!E$26:E$126,1),1))</f>
        <v>0</v>
      </c>
      <c r="E571" s="219">
        <f>INDEX('Step 4 Stage Discharge'!E$26:M$126,MATCH(C571,'Step 4 Stage Discharge'!E$26:E$126,1),9)+(INDEX('Step 4 Stage Discharge'!E$26:M$126,MATCH('Step 6 Quality Check'!C571,'Step 4 Stage Discharge'!E$26:E$126,1)+1,9)-INDEX('Step 4 Stage Discharge'!E$26:M$126,MATCH('Step 6 Quality Check'!C571,'Step 4 Stage Discharge'!E$26:E$126,1),9))*('Step 6 Quality Check'!C571-INDEX('Step 4 Stage Discharge'!E$26:M$126,MATCH('Step 6 Quality Check'!C571,'Step 4 Stage Discharge'!E$26:E$126,1),1))/(INDEX('Step 4 Stage Discharge'!E$26:M$126,MATCH('Step 6 Quality Check'!C571,'Step 4 Stage Discharge'!E$26:E$126,1)+1,1)-INDEX('Step 4 Stage Discharge'!E$26:M$126,MATCH('Step 6 Quality Check'!C571,'Step 4 Stage Discharge'!E$26:E$126,1),1))</f>
        <v>4.3639431710317386E-3</v>
      </c>
      <c r="F571" s="218">
        <f t="shared" si="40"/>
        <v>0</v>
      </c>
      <c r="G571" s="218">
        <f t="shared" si="41"/>
        <v>0</v>
      </c>
    </row>
    <row r="572" spans="1:7">
      <c r="A572" s="217">
        <f t="shared" si="42"/>
        <v>2780</v>
      </c>
      <c r="B572" s="216">
        <f t="shared" si="43"/>
        <v>99.1</v>
      </c>
      <c r="C572" s="218">
        <f t="shared" si="44"/>
        <v>0</v>
      </c>
      <c r="D572" s="219">
        <f>INDEX('Step 4 Stage Discharge'!E$26:F$126,MATCH(C572,'Step 4 Stage Discharge'!E$26:E$126,1),2)+(INDEX('Step 4 Stage Discharge'!E$26:F$126,MATCH(C572,'Step 4 Stage Discharge'!E$26:E$126,1)+1,2)-INDEX('Step 4 Stage Discharge'!E$26:F$126,MATCH(C572,'Step 4 Stage Discharge'!E$26:E$126,1),2))*(C572-INDEX('Step 4 Stage Discharge'!E$26:F$126,MATCH(C572,'Step 4 Stage Discharge'!E$26:E$126,1),1))/(INDEX('Step 4 Stage Discharge'!E$26:F$126,MATCH(C572,'Step 4 Stage Discharge'!E$26:E$126,1)+1,1)-INDEX('Step 4 Stage Discharge'!E$26:F$126,MATCH(C572,'Step 4 Stage Discharge'!E$26:E$126,1),1))</f>
        <v>0</v>
      </c>
      <c r="E572" s="219">
        <f>INDEX('Step 4 Stage Discharge'!E$26:M$126,MATCH(C572,'Step 4 Stage Discharge'!E$26:E$126,1),9)+(INDEX('Step 4 Stage Discharge'!E$26:M$126,MATCH('Step 6 Quality Check'!C572,'Step 4 Stage Discharge'!E$26:E$126,1)+1,9)-INDEX('Step 4 Stage Discharge'!E$26:M$126,MATCH('Step 6 Quality Check'!C572,'Step 4 Stage Discharge'!E$26:E$126,1),9))*('Step 6 Quality Check'!C572-INDEX('Step 4 Stage Discharge'!E$26:M$126,MATCH('Step 6 Quality Check'!C572,'Step 4 Stage Discharge'!E$26:E$126,1),1))/(INDEX('Step 4 Stage Discharge'!E$26:M$126,MATCH('Step 6 Quality Check'!C572,'Step 4 Stage Discharge'!E$26:E$126,1)+1,1)-INDEX('Step 4 Stage Discharge'!E$26:M$126,MATCH('Step 6 Quality Check'!C572,'Step 4 Stage Discharge'!E$26:E$126,1),1))</f>
        <v>4.3639431710317386E-3</v>
      </c>
      <c r="F572" s="218">
        <f t="shared" si="40"/>
        <v>0</v>
      </c>
      <c r="G572" s="218">
        <f t="shared" si="41"/>
        <v>0</v>
      </c>
    </row>
    <row r="573" spans="1:7">
      <c r="A573" s="217">
        <f t="shared" si="42"/>
        <v>2785</v>
      </c>
      <c r="B573" s="216">
        <f t="shared" si="43"/>
        <v>99.1</v>
      </c>
      <c r="C573" s="218">
        <f t="shared" si="44"/>
        <v>0</v>
      </c>
      <c r="D573" s="219">
        <f>INDEX('Step 4 Stage Discharge'!E$26:F$126,MATCH(C573,'Step 4 Stage Discharge'!E$26:E$126,1),2)+(INDEX('Step 4 Stage Discharge'!E$26:F$126,MATCH(C573,'Step 4 Stage Discharge'!E$26:E$126,1)+1,2)-INDEX('Step 4 Stage Discharge'!E$26:F$126,MATCH(C573,'Step 4 Stage Discharge'!E$26:E$126,1),2))*(C573-INDEX('Step 4 Stage Discharge'!E$26:F$126,MATCH(C573,'Step 4 Stage Discharge'!E$26:E$126,1),1))/(INDEX('Step 4 Stage Discharge'!E$26:F$126,MATCH(C573,'Step 4 Stage Discharge'!E$26:E$126,1)+1,1)-INDEX('Step 4 Stage Discharge'!E$26:F$126,MATCH(C573,'Step 4 Stage Discharge'!E$26:E$126,1),1))</f>
        <v>0</v>
      </c>
      <c r="E573" s="219">
        <f>INDEX('Step 4 Stage Discharge'!E$26:M$126,MATCH(C573,'Step 4 Stage Discharge'!E$26:E$126,1),9)+(INDEX('Step 4 Stage Discharge'!E$26:M$126,MATCH('Step 6 Quality Check'!C573,'Step 4 Stage Discharge'!E$26:E$126,1)+1,9)-INDEX('Step 4 Stage Discharge'!E$26:M$126,MATCH('Step 6 Quality Check'!C573,'Step 4 Stage Discharge'!E$26:E$126,1),9))*('Step 6 Quality Check'!C573-INDEX('Step 4 Stage Discharge'!E$26:M$126,MATCH('Step 6 Quality Check'!C573,'Step 4 Stage Discharge'!E$26:E$126,1),1))/(INDEX('Step 4 Stage Discharge'!E$26:M$126,MATCH('Step 6 Quality Check'!C573,'Step 4 Stage Discharge'!E$26:E$126,1)+1,1)-INDEX('Step 4 Stage Discharge'!E$26:M$126,MATCH('Step 6 Quality Check'!C573,'Step 4 Stage Discharge'!E$26:E$126,1),1))</f>
        <v>4.3639431710317386E-3</v>
      </c>
      <c r="F573" s="218">
        <f t="shared" si="40"/>
        <v>0</v>
      </c>
      <c r="G573" s="218">
        <f t="shared" si="41"/>
        <v>0</v>
      </c>
    </row>
    <row r="574" spans="1:7">
      <c r="A574" s="217">
        <f t="shared" si="42"/>
        <v>2790</v>
      </c>
      <c r="B574" s="216">
        <f t="shared" si="43"/>
        <v>99.1</v>
      </c>
      <c r="C574" s="218">
        <f t="shared" si="44"/>
        <v>0</v>
      </c>
      <c r="D574" s="219">
        <f>INDEX('Step 4 Stage Discharge'!E$26:F$126,MATCH(C574,'Step 4 Stage Discharge'!E$26:E$126,1),2)+(INDEX('Step 4 Stage Discharge'!E$26:F$126,MATCH(C574,'Step 4 Stage Discharge'!E$26:E$126,1)+1,2)-INDEX('Step 4 Stage Discharge'!E$26:F$126,MATCH(C574,'Step 4 Stage Discharge'!E$26:E$126,1),2))*(C574-INDEX('Step 4 Stage Discharge'!E$26:F$126,MATCH(C574,'Step 4 Stage Discharge'!E$26:E$126,1),1))/(INDEX('Step 4 Stage Discharge'!E$26:F$126,MATCH(C574,'Step 4 Stage Discharge'!E$26:E$126,1)+1,1)-INDEX('Step 4 Stage Discharge'!E$26:F$126,MATCH(C574,'Step 4 Stage Discharge'!E$26:E$126,1),1))</f>
        <v>0</v>
      </c>
      <c r="E574" s="219">
        <f>INDEX('Step 4 Stage Discharge'!E$26:M$126,MATCH(C574,'Step 4 Stage Discharge'!E$26:E$126,1),9)+(INDEX('Step 4 Stage Discharge'!E$26:M$126,MATCH('Step 6 Quality Check'!C574,'Step 4 Stage Discharge'!E$26:E$126,1)+1,9)-INDEX('Step 4 Stage Discharge'!E$26:M$126,MATCH('Step 6 Quality Check'!C574,'Step 4 Stage Discharge'!E$26:E$126,1),9))*('Step 6 Quality Check'!C574-INDEX('Step 4 Stage Discharge'!E$26:M$126,MATCH('Step 6 Quality Check'!C574,'Step 4 Stage Discharge'!E$26:E$126,1),1))/(INDEX('Step 4 Stage Discharge'!E$26:M$126,MATCH('Step 6 Quality Check'!C574,'Step 4 Stage Discharge'!E$26:E$126,1)+1,1)-INDEX('Step 4 Stage Discharge'!E$26:M$126,MATCH('Step 6 Quality Check'!C574,'Step 4 Stage Discharge'!E$26:E$126,1),1))</f>
        <v>4.3639431710317386E-3</v>
      </c>
      <c r="F574" s="218">
        <f t="shared" si="40"/>
        <v>0</v>
      </c>
      <c r="G574" s="218">
        <f t="shared" si="41"/>
        <v>0</v>
      </c>
    </row>
    <row r="575" spans="1:7">
      <c r="A575" s="217">
        <f t="shared" si="42"/>
        <v>2795</v>
      </c>
      <c r="B575" s="216">
        <f t="shared" si="43"/>
        <v>99.1</v>
      </c>
      <c r="C575" s="218">
        <f t="shared" si="44"/>
        <v>0</v>
      </c>
      <c r="D575" s="219">
        <f>INDEX('Step 4 Stage Discharge'!E$26:F$126,MATCH(C575,'Step 4 Stage Discharge'!E$26:E$126,1),2)+(INDEX('Step 4 Stage Discharge'!E$26:F$126,MATCH(C575,'Step 4 Stage Discharge'!E$26:E$126,1)+1,2)-INDEX('Step 4 Stage Discharge'!E$26:F$126,MATCH(C575,'Step 4 Stage Discharge'!E$26:E$126,1),2))*(C575-INDEX('Step 4 Stage Discharge'!E$26:F$126,MATCH(C575,'Step 4 Stage Discharge'!E$26:E$126,1),1))/(INDEX('Step 4 Stage Discharge'!E$26:F$126,MATCH(C575,'Step 4 Stage Discharge'!E$26:E$126,1)+1,1)-INDEX('Step 4 Stage Discharge'!E$26:F$126,MATCH(C575,'Step 4 Stage Discharge'!E$26:E$126,1),1))</f>
        <v>0</v>
      </c>
      <c r="E575" s="219">
        <f>INDEX('Step 4 Stage Discharge'!E$26:M$126,MATCH(C575,'Step 4 Stage Discharge'!E$26:E$126,1),9)+(INDEX('Step 4 Stage Discharge'!E$26:M$126,MATCH('Step 6 Quality Check'!C575,'Step 4 Stage Discharge'!E$26:E$126,1)+1,9)-INDEX('Step 4 Stage Discharge'!E$26:M$126,MATCH('Step 6 Quality Check'!C575,'Step 4 Stage Discharge'!E$26:E$126,1),9))*('Step 6 Quality Check'!C575-INDEX('Step 4 Stage Discharge'!E$26:M$126,MATCH('Step 6 Quality Check'!C575,'Step 4 Stage Discharge'!E$26:E$126,1),1))/(INDEX('Step 4 Stage Discharge'!E$26:M$126,MATCH('Step 6 Quality Check'!C575,'Step 4 Stage Discharge'!E$26:E$126,1)+1,1)-INDEX('Step 4 Stage Discharge'!E$26:M$126,MATCH('Step 6 Quality Check'!C575,'Step 4 Stage Discharge'!E$26:E$126,1),1))</f>
        <v>4.3639431710317386E-3</v>
      </c>
      <c r="F575" s="218">
        <f t="shared" si="40"/>
        <v>0</v>
      </c>
      <c r="G575" s="218">
        <f t="shared" si="41"/>
        <v>0</v>
      </c>
    </row>
    <row r="576" spans="1:7">
      <c r="A576" s="217">
        <f t="shared" si="42"/>
        <v>2800</v>
      </c>
      <c r="B576" s="216">
        <f t="shared" si="43"/>
        <v>99.1</v>
      </c>
      <c r="C576" s="218">
        <f t="shared" si="44"/>
        <v>0</v>
      </c>
      <c r="D576" s="219">
        <f>INDEX('Step 4 Stage Discharge'!E$26:F$126,MATCH(C576,'Step 4 Stage Discharge'!E$26:E$126,1),2)+(INDEX('Step 4 Stage Discharge'!E$26:F$126,MATCH(C576,'Step 4 Stage Discharge'!E$26:E$126,1)+1,2)-INDEX('Step 4 Stage Discharge'!E$26:F$126,MATCH(C576,'Step 4 Stage Discharge'!E$26:E$126,1),2))*(C576-INDEX('Step 4 Stage Discharge'!E$26:F$126,MATCH(C576,'Step 4 Stage Discharge'!E$26:E$126,1),1))/(INDEX('Step 4 Stage Discharge'!E$26:F$126,MATCH(C576,'Step 4 Stage Discharge'!E$26:E$126,1)+1,1)-INDEX('Step 4 Stage Discharge'!E$26:F$126,MATCH(C576,'Step 4 Stage Discharge'!E$26:E$126,1),1))</f>
        <v>0</v>
      </c>
      <c r="E576" s="219">
        <f>INDEX('Step 4 Stage Discharge'!E$26:M$126,MATCH(C576,'Step 4 Stage Discharge'!E$26:E$126,1),9)+(INDEX('Step 4 Stage Discharge'!E$26:M$126,MATCH('Step 6 Quality Check'!C576,'Step 4 Stage Discharge'!E$26:E$126,1)+1,9)-INDEX('Step 4 Stage Discharge'!E$26:M$126,MATCH('Step 6 Quality Check'!C576,'Step 4 Stage Discharge'!E$26:E$126,1),9))*('Step 6 Quality Check'!C576-INDEX('Step 4 Stage Discharge'!E$26:M$126,MATCH('Step 6 Quality Check'!C576,'Step 4 Stage Discharge'!E$26:E$126,1),1))/(INDEX('Step 4 Stage Discharge'!E$26:M$126,MATCH('Step 6 Quality Check'!C576,'Step 4 Stage Discharge'!E$26:E$126,1)+1,1)-INDEX('Step 4 Stage Discharge'!E$26:M$126,MATCH('Step 6 Quality Check'!C576,'Step 4 Stage Discharge'!E$26:E$126,1),1))</f>
        <v>4.3639431710317386E-3</v>
      </c>
      <c r="F576" s="218">
        <f t="shared" si="40"/>
        <v>0</v>
      </c>
      <c r="G576" s="218">
        <f t="shared" si="41"/>
        <v>0</v>
      </c>
    </row>
    <row r="577" spans="1:7">
      <c r="A577" s="217">
        <f t="shared" si="42"/>
        <v>2805</v>
      </c>
      <c r="B577" s="216">
        <f t="shared" si="43"/>
        <v>99.1</v>
      </c>
      <c r="C577" s="218">
        <f t="shared" si="44"/>
        <v>0</v>
      </c>
      <c r="D577" s="219">
        <f>INDEX('Step 4 Stage Discharge'!E$26:F$126,MATCH(C577,'Step 4 Stage Discharge'!E$26:E$126,1),2)+(INDEX('Step 4 Stage Discharge'!E$26:F$126,MATCH(C577,'Step 4 Stage Discharge'!E$26:E$126,1)+1,2)-INDEX('Step 4 Stage Discharge'!E$26:F$126,MATCH(C577,'Step 4 Stage Discharge'!E$26:E$126,1),2))*(C577-INDEX('Step 4 Stage Discharge'!E$26:F$126,MATCH(C577,'Step 4 Stage Discharge'!E$26:E$126,1),1))/(INDEX('Step 4 Stage Discharge'!E$26:F$126,MATCH(C577,'Step 4 Stage Discharge'!E$26:E$126,1)+1,1)-INDEX('Step 4 Stage Discharge'!E$26:F$126,MATCH(C577,'Step 4 Stage Discharge'!E$26:E$126,1),1))</f>
        <v>0</v>
      </c>
      <c r="E577" s="219">
        <f>INDEX('Step 4 Stage Discharge'!E$26:M$126,MATCH(C577,'Step 4 Stage Discharge'!E$26:E$126,1),9)+(INDEX('Step 4 Stage Discharge'!E$26:M$126,MATCH('Step 6 Quality Check'!C577,'Step 4 Stage Discharge'!E$26:E$126,1)+1,9)-INDEX('Step 4 Stage Discharge'!E$26:M$126,MATCH('Step 6 Quality Check'!C577,'Step 4 Stage Discharge'!E$26:E$126,1),9))*('Step 6 Quality Check'!C577-INDEX('Step 4 Stage Discharge'!E$26:M$126,MATCH('Step 6 Quality Check'!C577,'Step 4 Stage Discharge'!E$26:E$126,1),1))/(INDEX('Step 4 Stage Discharge'!E$26:M$126,MATCH('Step 6 Quality Check'!C577,'Step 4 Stage Discharge'!E$26:E$126,1)+1,1)-INDEX('Step 4 Stage Discharge'!E$26:M$126,MATCH('Step 6 Quality Check'!C577,'Step 4 Stage Discharge'!E$26:E$126,1),1))</f>
        <v>4.3639431710317386E-3</v>
      </c>
      <c r="F577" s="218">
        <f t="shared" si="40"/>
        <v>0</v>
      </c>
      <c r="G577" s="218">
        <f t="shared" si="41"/>
        <v>0</v>
      </c>
    </row>
    <row r="578" spans="1:7">
      <c r="A578" s="217">
        <f t="shared" si="42"/>
        <v>2810</v>
      </c>
      <c r="B578" s="216">
        <f t="shared" si="43"/>
        <v>99.1</v>
      </c>
      <c r="C578" s="218">
        <f t="shared" si="44"/>
        <v>0</v>
      </c>
      <c r="D578" s="219">
        <f>INDEX('Step 4 Stage Discharge'!E$26:F$126,MATCH(C578,'Step 4 Stage Discharge'!E$26:E$126,1),2)+(INDEX('Step 4 Stage Discharge'!E$26:F$126,MATCH(C578,'Step 4 Stage Discharge'!E$26:E$126,1)+1,2)-INDEX('Step 4 Stage Discharge'!E$26:F$126,MATCH(C578,'Step 4 Stage Discharge'!E$26:E$126,1),2))*(C578-INDEX('Step 4 Stage Discharge'!E$26:F$126,MATCH(C578,'Step 4 Stage Discharge'!E$26:E$126,1),1))/(INDEX('Step 4 Stage Discharge'!E$26:F$126,MATCH(C578,'Step 4 Stage Discharge'!E$26:E$126,1)+1,1)-INDEX('Step 4 Stage Discharge'!E$26:F$126,MATCH(C578,'Step 4 Stage Discharge'!E$26:E$126,1),1))</f>
        <v>0</v>
      </c>
      <c r="E578" s="219">
        <f>INDEX('Step 4 Stage Discharge'!E$26:M$126,MATCH(C578,'Step 4 Stage Discharge'!E$26:E$126,1),9)+(INDEX('Step 4 Stage Discharge'!E$26:M$126,MATCH('Step 6 Quality Check'!C578,'Step 4 Stage Discharge'!E$26:E$126,1)+1,9)-INDEX('Step 4 Stage Discharge'!E$26:M$126,MATCH('Step 6 Quality Check'!C578,'Step 4 Stage Discharge'!E$26:E$126,1),9))*('Step 6 Quality Check'!C578-INDEX('Step 4 Stage Discharge'!E$26:M$126,MATCH('Step 6 Quality Check'!C578,'Step 4 Stage Discharge'!E$26:E$126,1),1))/(INDEX('Step 4 Stage Discharge'!E$26:M$126,MATCH('Step 6 Quality Check'!C578,'Step 4 Stage Discharge'!E$26:E$126,1)+1,1)-INDEX('Step 4 Stage Discharge'!E$26:M$126,MATCH('Step 6 Quality Check'!C578,'Step 4 Stage Discharge'!E$26:E$126,1),1))</f>
        <v>4.3639431710317386E-3</v>
      </c>
      <c r="F578" s="218">
        <f t="shared" si="40"/>
        <v>0</v>
      </c>
      <c r="G578" s="218">
        <f t="shared" si="41"/>
        <v>0</v>
      </c>
    </row>
    <row r="579" spans="1:7">
      <c r="A579" s="217">
        <f t="shared" si="42"/>
        <v>2815</v>
      </c>
      <c r="B579" s="216">
        <f t="shared" si="43"/>
        <v>99.1</v>
      </c>
      <c r="C579" s="218">
        <f t="shared" si="44"/>
        <v>0</v>
      </c>
      <c r="D579" s="219">
        <f>INDEX('Step 4 Stage Discharge'!E$26:F$126,MATCH(C579,'Step 4 Stage Discharge'!E$26:E$126,1),2)+(INDEX('Step 4 Stage Discharge'!E$26:F$126,MATCH(C579,'Step 4 Stage Discharge'!E$26:E$126,1)+1,2)-INDEX('Step 4 Stage Discharge'!E$26:F$126,MATCH(C579,'Step 4 Stage Discharge'!E$26:E$126,1),2))*(C579-INDEX('Step 4 Stage Discharge'!E$26:F$126,MATCH(C579,'Step 4 Stage Discharge'!E$26:E$126,1),1))/(INDEX('Step 4 Stage Discharge'!E$26:F$126,MATCH(C579,'Step 4 Stage Discharge'!E$26:E$126,1)+1,1)-INDEX('Step 4 Stage Discharge'!E$26:F$126,MATCH(C579,'Step 4 Stage Discharge'!E$26:E$126,1),1))</f>
        <v>0</v>
      </c>
      <c r="E579" s="219">
        <f>INDEX('Step 4 Stage Discharge'!E$26:M$126,MATCH(C579,'Step 4 Stage Discharge'!E$26:E$126,1),9)+(INDEX('Step 4 Stage Discharge'!E$26:M$126,MATCH('Step 6 Quality Check'!C579,'Step 4 Stage Discharge'!E$26:E$126,1)+1,9)-INDEX('Step 4 Stage Discharge'!E$26:M$126,MATCH('Step 6 Quality Check'!C579,'Step 4 Stage Discharge'!E$26:E$126,1),9))*('Step 6 Quality Check'!C579-INDEX('Step 4 Stage Discharge'!E$26:M$126,MATCH('Step 6 Quality Check'!C579,'Step 4 Stage Discharge'!E$26:E$126,1),1))/(INDEX('Step 4 Stage Discharge'!E$26:M$126,MATCH('Step 6 Quality Check'!C579,'Step 4 Stage Discharge'!E$26:E$126,1)+1,1)-INDEX('Step 4 Stage Discharge'!E$26:M$126,MATCH('Step 6 Quality Check'!C579,'Step 4 Stage Discharge'!E$26:E$126,1),1))</f>
        <v>4.3639431710317386E-3</v>
      </c>
      <c r="F579" s="218">
        <f t="shared" si="40"/>
        <v>0</v>
      </c>
      <c r="G579" s="218">
        <f t="shared" si="41"/>
        <v>0</v>
      </c>
    </row>
    <row r="580" spans="1:7">
      <c r="A580" s="217">
        <f t="shared" si="42"/>
        <v>2820</v>
      </c>
      <c r="B580" s="216">
        <f t="shared" si="43"/>
        <v>99.1</v>
      </c>
      <c r="C580" s="218">
        <f t="shared" si="44"/>
        <v>0</v>
      </c>
      <c r="D580" s="219">
        <f>INDEX('Step 4 Stage Discharge'!E$26:F$126,MATCH(C580,'Step 4 Stage Discharge'!E$26:E$126,1),2)+(INDEX('Step 4 Stage Discharge'!E$26:F$126,MATCH(C580,'Step 4 Stage Discharge'!E$26:E$126,1)+1,2)-INDEX('Step 4 Stage Discharge'!E$26:F$126,MATCH(C580,'Step 4 Stage Discharge'!E$26:E$126,1),2))*(C580-INDEX('Step 4 Stage Discharge'!E$26:F$126,MATCH(C580,'Step 4 Stage Discharge'!E$26:E$126,1),1))/(INDEX('Step 4 Stage Discharge'!E$26:F$126,MATCH(C580,'Step 4 Stage Discharge'!E$26:E$126,1)+1,1)-INDEX('Step 4 Stage Discharge'!E$26:F$126,MATCH(C580,'Step 4 Stage Discharge'!E$26:E$126,1),1))</f>
        <v>0</v>
      </c>
      <c r="E580" s="219">
        <f>INDEX('Step 4 Stage Discharge'!E$26:M$126,MATCH(C580,'Step 4 Stage Discharge'!E$26:E$126,1),9)+(INDEX('Step 4 Stage Discharge'!E$26:M$126,MATCH('Step 6 Quality Check'!C580,'Step 4 Stage Discharge'!E$26:E$126,1)+1,9)-INDEX('Step 4 Stage Discharge'!E$26:M$126,MATCH('Step 6 Quality Check'!C580,'Step 4 Stage Discharge'!E$26:E$126,1),9))*('Step 6 Quality Check'!C580-INDEX('Step 4 Stage Discharge'!E$26:M$126,MATCH('Step 6 Quality Check'!C580,'Step 4 Stage Discharge'!E$26:E$126,1),1))/(INDEX('Step 4 Stage Discharge'!E$26:M$126,MATCH('Step 6 Quality Check'!C580,'Step 4 Stage Discharge'!E$26:E$126,1)+1,1)-INDEX('Step 4 Stage Discharge'!E$26:M$126,MATCH('Step 6 Quality Check'!C580,'Step 4 Stage Discharge'!E$26:E$126,1),1))</f>
        <v>4.3639431710317386E-3</v>
      </c>
      <c r="F580" s="218">
        <f t="shared" si="40"/>
        <v>0</v>
      </c>
      <c r="G580" s="218">
        <f t="shared" si="41"/>
        <v>0</v>
      </c>
    </row>
    <row r="581" spans="1:7">
      <c r="A581" s="217">
        <f t="shared" si="42"/>
        <v>2825</v>
      </c>
      <c r="B581" s="216">
        <f t="shared" si="43"/>
        <v>99.1</v>
      </c>
      <c r="C581" s="218">
        <f t="shared" si="44"/>
        <v>0</v>
      </c>
      <c r="D581" s="219">
        <f>INDEX('Step 4 Stage Discharge'!E$26:F$126,MATCH(C581,'Step 4 Stage Discharge'!E$26:E$126,1),2)+(INDEX('Step 4 Stage Discharge'!E$26:F$126,MATCH(C581,'Step 4 Stage Discharge'!E$26:E$126,1)+1,2)-INDEX('Step 4 Stage Discharge'!E$26:F$126,MATCH(C581,'Step 4 Stage Discharge'!E$26:E$126,1),2))*(C581-INDEX('Step 4 Stage Discharge'!E$26:F$126,MATCH(C581,'Step 4 Stage Discharge'!E$26:E$126,1),1))/(INDEX('Step 4 Stage Discharge'!E$26:F$126,MATCH(C581,'Step 4 Stage Discharge'!E$26:E$126,1)+1,1)-INDEX('Step 4 Stage Discharge'!E$26:F$126,MATCH(C581,'Step 4 Stage Discharge'!E$26:E$126,1),1))</f>
        <v>0</v>
      </c>
      <c r="E581" s="219">
        <f>INDEX('Step 4 Stage Discharge'!E$26:M$126,MATCH(C581,'Step 4 Stage Discharge'!E$26:E$126,1),9)+(INDEX('Step 4 Stage Discharge'!E$26:M$126,MATCH('Step 6 Quality Check'!C581,'Step 4 Stage Discharge'!E$26:E$126,1)+1,9)-INDEX('Step 4 Stage Discharge'!E$26:M$126,MATCH('Step 6 Quality Check'!C581,'Step 4 Stage Discharge'!E$26:E$126,1),9))*('Step 6 Quality Check'!C581-INDEX('Step 4 Stage Discharge'!E$26:M$126,MATCH('Step 6 Quality Check'!C581,'Step 4 Stage Discharge'!E$26:E$126,1),1))/(INDEX('Step 4 Stage Discharge'!E$26:M$126,MATCH('Step 6 Quality Check'!C581,'Step 4 Stage Discharge'!E$26:E$126,1)+1,1)-INDEX('Step 4 Stage Discharge'!E$26:M$126,MATCH('Step 6 Quality Check'!C581,'Step 4 Stage Discharge'!E$26:E$126,1),1))</f>
        <v>4.3639431710317386E-3</v>
      </c>
      <c r="F581" s="218">
        <f t="shared" si="40"/>
        <v>0</v>
      </c>
      <c r="G581" s="218">
        <f t="shared" si="41"/>
        <v>0</v>
      </c>
    </row>
    <row r="582" spans="1:7">
      <c r="A582" s="217">
        <f t="shared" si="42"/>
        <v>2830</v>
      </c>
      <c r="B582" s="216">
        <f t="shared" si="43"/>
        <v>99.1</v>
      </c>
      <c r="C582" s="218">
        <f t="shared" si="44"/>
        <v>0</v>
      </c>
      <c r="D582" s="219">
        <f>INDEX('Step 4 Stage Discharge'!E$26:F$126,MATCH(C582,'Step 4 Stage Discharge'!E$26:E$126,1),2)+(INDEX('Step 4 Stage Discharge'!E$26:F$126,MATCH(C582,'Step 4 Stage Discharge'!E$26:E$126,1)+1,2)-INDEX('Step 4 Stage Discharge'!E$26:F$126,MATCH(C582,'Step 4 Stage Discharge'!E$26:E$126,1),2))*(C582-INDEX('Step 4 Stage Discharge'!E$26:F$126,MATCH(C582,'Step 4 Stage Discharge'!E$26:E$126,1),1))/(INDEX('Step 4 Stage Discharge'!E$26:F$126,MATCH(C582,'Step 4 Stage Discharge'!E$26:E$126,1)+1,1)-INDEX('Step 4 Stage Discharge'!E$26:F$126,MATCH(C582,'Step 4 Stage Discharge'!E$26:E$126,1),1))</f>
        <v>0</v>
      </c>
      <c r="E582" s="219">
        <f>INDEX('Step 4 Stage Discharge'!E$26:M$126,MATCH(C582,'Step 4 Stage Discharge'!E$26:E$126,1),9)+(INDEX('Step 4 Stage Discharge'!E$26:M$126,MATCH('Step 6 Quality Check'!C582,'Step 4 Stage Discharge'!E$26:E$126,1)+1,9)-INDEX('Step 4 Stage Discharge'!E$26:M$126,MATCH('Step 6 Quality Check'!C582,'Step 4 Stage Discharge'!E$26:E$126,1),9))*('Step 6 Quality Check'!C582-INDEX('Step 4 Stage Discharge'!E$26:M$126,MATCH('Step 6 Quality Check'!C582,'Step 4 Stage Discharge'!E$26:E$126,1),1))/(INDEX('Step 4 Stage Discharge'!E$26:M$126,MATCH('Step 6 Quality Check'!C582,'Step 4 Stage Discharge'!E$26:E$126,1)+1,1)-INDEX('Step 4 Stage Discharge'!E$26:M$126,MATCH('Step 6 Quality Check'!C582,'Step 4 Stage Discharge'!E$26:E$126,1),1))</f>
        <v>4.3639431710317386E-3</v>
      </c>
      <c r="F582" s="218">
        <f t="shared" si="40"/>
        <v>0</v>
      </c>
      <c r="G582" s="218">
        <f t="shared" si="41"/>
        <v>0</v>
      </c>
    </row>
    <row r="583" spans="1:7">
      <c r="A583" s="217">
        <f t="shared" si="42"/>
        <v>2835</v>
      </c>
      <c r="B583" s="216">
        <f t="shared" si="43"/>
        <v>99.1</v>
      </c>
      <c r="C583" s="218">
        <f t="shared" si="44"/>
        <v>0</v>
      </c>
      <c r="D583" s="219">
        <f>INDEX('Step 4 Stage Discharge'!E$26:F$126,MATCH(C583,'Step 4 Stage Discharge'!E$26:E$126,1),2)+(INDEX('Step 4 Stage Discharge'!E$26:F$126,MATCH(C583,'Step 4 Stage Discharge'!E$26:E$126,1)+1,2)-INDEX('Step 4 Stage Discharge'!E$26:F$126,MATCH(C583,'Step 4 Stage Discharge'!E$26:E$126,1),2))*(C583-INDEX('Step 4 Stage Discharge'!E$26:F$126,MATCH(C583,'Step 4 Stage Discharge'!E$26:E$126,1),1))/(INDEX('Step 4 Stage Discharge'!E$26:F$126,MATCH(C583,'Step 4 Stage Discharge'!E$26:E$126,1)+1,1)-INDEX('Step 4 Stage Discharge'!E$26:F$126,MATCH(C583,'Step 4 Stage Discharge'!E$26:E$126,1),1))</f>
        <v>0</v>
      </c>
      <c r="E583" s="219">
        <f>INDEX('Step 4 Stage Discharge'!E$26:M$126,MATCH(C583,'Step 4 Stage Discharge'!E$26:E$126,1),9)+(INDEX('Step 4 Stage Discharge'!E$26:M$126,MATCH('Step 6 Quality Check'!C583,'Step 4 Stage Discharge'!E$26:E$126,1)+1,9)-INDEX('Step 4 Stage Discharge'!E$26:M$126,MATCH('Step 6 Quality Check'!C583,'Step 4 Stage Discharge'!E$26:E$126,1),9))*('Step 6 Quality Check'!C583-INDEX('Step 4 Stage Discharge'!E$26:M$126,MATCH('Step 6 Quality Check'!C583,'Step 4 Stage Discharge'!E$26:E$126,1),1))/(INDEX('Step 4 Stage Discharge'!E$26:M$126,MATCH('Step 6 Quality Check'!C583,'Step 4 Stage Discharge'!E$26:E$126,1)+1,1)-INDEX('Step 4 Stage Discharge'!E$26:M$126,MATCH('Step 6 Quality Check'!C583,'Step 4 Stage Discharge'!E$26:E$126,1),1))</f>
        <v>4.3639431710317386E-3</v>
      </c>
      <c r="F583" s="218">
        <f t="shared" si="40"/>
        <v>0</v>
      </c>
      <c r="G583" s="218">
        <f t="shared" si="41"/>
        <v>0</v>
      </c>
    </row>
    <row r="584" spans="1:7">
      <c r="A584" s="217">
        <f t="shared" si="42"/>
        <v>2840</v>
      </c>
      <c r="B584" s="216">
        <f t="shared" si="43"/>
        <v>99.1</v>
      </c>
      <c r="C584" s="218">
        <f t="shared" si="44"/>
        <v>0</v>
      </c>
      <c r="D584" s="219">
        <f>INDEX('Step 4 Stage Discharge'!E$26:F$126,MATCH(C584,'Step 4 Stage Discharge'!E$26:E$126,1),2)+(INDEX('Step 4 Stage Discharge'!E$26:F$126,MATCH(C584,'Step 4 Stage Discharge'!E$26:E$126,1)+1,2)-INDEX('Step 4 Stage Discharge'!E$26:F$126,MATCH(C584,'Step 4 Stage Discharge'!E$26:E$126,1),2))*(C584-INDEX('Step 4 Stage Discharge'!E$26:F$126,MATCH(C584,'Step 4 Stage Discharge'!E$26:E$126,1),1))/(INDEX('Step 4 Stage Discharge'!E$26:F$126,MATCH(C584,'Step 4 Stage Discharge'!E$26:E$126,1)+1,1)-INDEX('Step 4 Stage Discharge'!E$26:F$126,MATCH(C584,'Step 4 Stage Discharge'!E$26:E$126,1),1))</f>
        <v>0</v>
      </c>
      <c r="E584" s="219">
        <f>INDEX('Step 4 Stage Discharge'!E$26:M$126,MATCH(C584,'Step 4 Stage Discharge'!E$26:E$126,1),9)+(INDEX('Step 4 Stage Discharge'!E$26:M$126,MATCH('Step 6 Quality Check'!C584,'Step 4 Stage Discharge'!E$26:E$126,1)+1,9)-INDEX('Step 4 Stage Discharge'!E$26:M$126,MATCH('Step 6 Quality Check'!C584,'Step 4 Stage Discharge'!E$26:E$126,1),9))*('Step 6 Quality Check'!C584-INDEX('Step 4 Stage Discharge'!E$26:M$126,MATCH('Step 6 Quality Check'!C584,'Step 4 Stage Discharge'!E$26:E$126,1),1))/(INDEX('Step 4 Stage Discharge'!E$26:M$126,MATCH('Step 6 Quality Check'!C584,'Step 4 Stage Discharge'!E$26:E$126,1)+1,1)-INDEX('Step 4 Stage Discharge'!E$26:M$126,MATCH('Step 6 Quality Check'!C584,'Step 4 Stage Discharge'!E$26:E$126,1),1))</f>
        <v>4.3639431710317386E-3</v>
      </c>
      <c r="F584" s="218">
        <f t="shared" si="40"/>
        <v>0</v>
      </c>
      <c r="G584" s="218">
        <f t="shared" si="41"/>
        <v>0</v>
      </c>
    </row>
    <row r="585" spans="1:7">
      <c r="A585" s="217">
        <f t="shared" si="42"/>
        <v>2845</v>
      </c>
      <c r="B585" s="216">
        <f t="shared" si="43"/>
        <v>99.1</v>
      </c>
      <c r="C585" s="218">
        <f t="shared" si="44"/>
        <v>0</v>
      </c>
      <c r="D585" s="219">
        <f>INDEX('Step 4 Stage Discharge'!E$26:F$126,MATCH(C585,'Step 4 Stage Discharge'!E$26:E$126,1),2)+(INDEX('Step 4 Stage Discharge'!E$26:F$126,MATCH(C585,'Step 4 Stage Discharge'!E$26:E$126,1)+1,2)-INDEX('Step 4 Stage Discharge'!E$26:F$126,MATCH(C585,'Step 4 Stage Discharge'!E$26:E$126,1),2))*(C585-INDEX('Step 4 Stage Discharge'!E$26:F$126,MATCH(C585,'Step 4 Stage Discharge'!E$26:E$126,1),1))/(INDEX('Step 4 Stage Discharge'!E$26:F$126,MATCH(C585,'Step 4 Stage Discharge'!E$26:E$126,1)+1,1)-INDEX('Step 4 Stage Discharge'!E$26:F$126,MATCH(C585,'Step 4 Stage Discharge'!E$26:E$126,1),1))</f>
        <v>0</v>
      </c>
      <c r="E585" s="219">
        <f>INDEX('Step 4 Stage Discharge'!E$26:M$126,MATCH(C585,'Step 4 Stage Discharge'!E$26:E$126,1),9)+(INDEX('Step 4 Stage Discharge'!E$26:M$126,MATCH('Step 6 Quality Check'!C585,'Step 4 Stage Discharge'!E$26:E$126,1)+1,9)-INDEX('Step 4 Stage Discharge'!E$26:M$126,MATCH('Step 6 Quality Check'!C585,'Step 4 Stage Discharge'!E$26:E$126,1),9))*('Step 6 Quality Check'!C585-INDEX('Step 4 Stage Discharge'!E$26:M$126,MATCH('Step 6 Quality Check'!C585,'Step 4 Stage Discharge'!E$26:E$126,1),1))/(INDEX('Step 4 Stage Discharge'!E$26:M$126,MATCH('Step 6 Quality Check'!C585,'Step 4 Stage Discharge'!E$26:E$126,1)+1,1)-INDEX('Step 4 Stage Discharge'!E$26:M$126,MATCH('Step 6 Quality Check'!C585,'Step 4 Stage Discharge'!E$26:E$126,1),1))</f>
        <v>4.3639431710317386E-3</v>
      </c>
      <c r="F585" s="218">
        <f t="shared" si="40"/>
        <v>0</v>
      </c>
      <c r="G585" s="218">
        <f t="shared" si="41"/>
        <v>0</v>
      </c>
    </row>
    <row r="586" spans="1:7">
      <c r="A586" s="217">
        <f t="shared" si="42"/>
        <v>2850</v>
      </c>
      <c r="B586" s="216">
        <f t="shared" si="43"/>
        <v>99.1</v>
      </c>
      <c r="C586" s="218">
        <f t="shared" si="44"/>
        <v>0</v>
      </c>
      <c r="D586" s="219">
        <f>INDEX('Step 4 Stage Discharge'!E$26:F$126,MATCH(C586,'Step 4 Stage Discharge'!E$26:E$126,1),2)+(INDEX('Step 4 Stage Discharge'!E$26:F$126,MATCH(C586,'Step 4 Stage Discharge'!E$26:E$126,1)+1,2)-INDEX('Step 4 Stage Discharge'!E$26:F$126,MATCH(C586,'Step 4 Stage Discharge'!E$26:E$126,1),2))*(C586-INDEX('Step 4 Stage Discharge'!E$26:F$126,MATCH(C586,'Step 4 Stage Discharge'!E$26:E$126,1),1))/(INDEX('Step 4 Stage Discharge'!E$26:F$126,MATCH(C586,'Step 4 Stage Discharge'!E$26:E$126,1)+1,1)-INDEX('Step 4 Stage Discharge'!E$26:F$126,MATCH(C586,'Step 4 Stage Discharge'!E$26:E$126,1),1))</f>
        <v>0</v>
      </c>
      <c r="E586" s="219">
        <f>INDEX('Step 4 Stage Discharge'!E$26:M$126,MATCH(C586,'Step 4 Stage Discharge'!E$26:E$126,1),9)+(INDEX('Step 4 Stage Discharge'!E$26:M$126,MATCH('Step 6 Quality Check'!C586,'Step 4 Stage Discharge'!E$26:E$126,1)+1,9)-INDEX('Step 4 Stage Discharge'!E$26:M$126,MATCH('Step 6 Quality Check'!C586,'Step 4 Stage Discharge'!E$26:E$126,1),9))*('Step 6 Quality Check'!C586-INDEX('Step 4 Stage Discharge'!E$26:M$126,MATCH('Step 6 Quality Check'!C586,'Step 4 Stage Discharge'!E$26:E$126,1),1))/(INDEX('Step 4 Stage Discharge'!E$26:M$126,MATCH('Step 6 Quality Check'!C586,'Step 4 Stage Discharge'!E$26:E$126,1)+1,1)-INDEX('Step 4 Stage Discharge'!E$26:M$126,MATCH('Step 6 Quality Check'!C586,'Step 4 Stage Discharge'!E$26:E$126,1),1))</f>
        <v>4.3639431710317386E-3</v>
      </c>
      <c r="F586" s="218">
        <f t="shared" si="40"/>
        <v>0</v>
      </c>
      <c r="G586" s="218">
        <f t="shared" si="41"/>
        <v>0</v>
      </c>
    </row>
    <row r="587" spans="1:7">
      <c r="A587" s="217">
        <f t="shared" si="42"/>
        <v>2855</v>
      </c>
      <c r="B587" s="216">
        <f t="shared" si="43"/>
        <v>99.1</v>
      </c>
      <c r="C587" s="218">
        <f t="shared" si="44"/>
        <v>0</v>
      </c>
      <c r="D587" s="219">
        <f>INDEX('Step 4 Stage Discharge'!E$26:F$126,MATCH(C587,'Step 4 Stage Discharge'!E$26:E$126,1),2)+(INDEX('Step 4 Stage Discharge'!E$26:F$126,MATCH(C587,'Step 4 Stage Discharge'!E$26:E$126,1)+1,2)-INDEX('Step 4 Stage Discharge'!E$26:F$126,MATCH(C587,'Step 4 Stage Discharge'!E$26:E$126,1),2))*(C587-INDEX('Step 4 Stage Discharge'!E$26:F$126,MATCH(C587,'Step 4 Stage Discharge'!E$26:E$126,1),1))/(INDEX('Step 4 Stage Discharge'!E$26:F$126,MATCH(C587,'Step 4 Stage Discharge'!E$26:E$126,1)+1,1)-INDEX('Step 4 Stage Discharge'!E$26:F$126,MATCH(C587,'Step 4 Stage Discharge'!E$26:E$126,1),1))</f>
        <v>0</v>
      </c>
      <c r="E587" s="219">
        <f>INDEX('Step 4 Stage Discharge'!E$26:M$126,MATCH(C587,'Step 4 Stage Discharge'!E$26:E$126,1),9)+(INDEX('Step 4 Stage Discharge'!E$26:M$126,MATCH('Step 6 Quality Check'!C587,'Step 4 Stage Discharge'!E$26:E$126,1)+1,9)-INDEX('Step 4 Stage Discharge'!E$26:M$126,MATCH('Step 6 Quality Check'!C587,'Step 4 Stage Discharge'!E$26:E$126,1),9))*('Step 6 Quality Check'!C587-INDEX('Step 4 Stage Discharge'!E$26:M$126,MATCH('Step 6 Quality Check'!C587,'Step 4 Stage Discharge'!E$26:E$126,1),1))/(INDEX('Step 4 Stage Discharge'!E$26:M$126,MATCH('Step 6 Quality Check'!C587,'Step 4 Stage Discharge'!E$26:E$126,1)+1,1)-INDEX('Step 4 Stage Discharge'!E$26:M$126,MATCH('Step 6 Quality Check'!C587,'Step 4 Stage Discharge'!E$26:E$126,1),1))</f>
        <v>4.3639431710317386E-3</v>
      </c>
      <c r="F587" s="218">
        <f t="shared" si="40"/>
        <v>0</v>
      </c>
      <c r="G587" s="218">
        <f t="shared" si="41"/>
        <v>0</v>
      </c>
    </row>
    <row r="588" spans="1:7">
      <c r="A588" s="217">
        <f t="shared" si="42"/>
        <v>2860</v>
      </c>
      <c r="B588" s="216">
        <f t="shared" si="43"/>
        <v>99.1</v>
      </c>
      <c r="C588" s="218">
        <f t="shared" si="44"/>
        <v>0</v>
      </c>
      <c r="D588" s="219">
        <f>INDEX('Step 4 Stage Discharge'!E$26:F$126,MATCH(C588,'Step 4 Stage Discharge'!E$26:E$126,1),2)+(INDEX('Step 4 Stage Discharge'!E$26:F$126,MATCH(C588,'Step 4 Stage Discharge'!E$26:E$126,1)+1,2)-INDEX('Step 4 Stage Discharge'!E$26:F$126,MATCH(C588,'Step 4 Stage Discharge'!E$26:E$126,1),2))*(C588-INDEX('Step 4 Stage Discharge'!E$26:F$126,MATCH(C588,'Step 4 Stage Discharge'!E$26:E$126,1),1))/(INDEX('Step 4 Stage Discharge'!E$26:F$126,MATCH(C588,'Step 4 Stage Discharge'!E$26:E$126,1)+1,1)-INDEX('Step 4 Stage Discharge'!E$26:F$126,MATCH(C588,'Step 4 Stage Discharge'!E$26:E$126,1),1))</f>
        <v>0</v>
      </c>
      <c r="E588" s="219">
        <f>INDEX('Step 4 Stage Discharge'!E$26:M$126,MATCH(C588,'Step 4 Stage Discharge'!E$26:E$126,1),9)+(INDEX('Step 4 Stage Discharge'!E$26:M$126,MATCH('Step 6 Quality Check'!C588,'Step 4 Stage Discharge'!E$26:E$126,1)+1,9)-INDEX('Step 4 Stage Discharge'!E$26:M$126,MATCH('Step 6 Quality Check'!C588,'Step 4 Stage Discharge'!E$26:E$126,1),9))*('Step 6 Quality Check'!C588-INDEX('Step 4 Stage Discharge'!E$26:M$126,MATCH('Step 6 Quality Check'!C588,'Step 4 Stage Discharge'!E$26:E$126,1),1))/(INDEX('Step 4 Stage Discharge'!E$26:M$126,MATCH('Step 6 Quality Check'!C588,'Step 4 Stage Discharge'!E$26:E$126,1)+1,1)-INDEX('Step 4 Stage Discharge'!E$26:M$126,MATCH('Step 6 Quality Check'!C588,'Step 4 Stage Discharge'!E$26:E$126,1),1))</f>
        <v>4.3639431710317386E-3</v>
      </c>
      <c r="F588" s="218">
        <f t="shared" si="40"/>
        <v>0</v>
      </c>
      <c r="G588" s="218">
        <f t="shared" si="41"/>
        <v>0</v>
      </c>
    </row>
    <row r="589" spans="1:7">
      <c r="A589" s="217">
        <f t="shared" si="42"/>
        <v>2865</v>
      </c>
      <c r="B589" s="216">
        <f t="shared" si="43"/>
        <v>99.1</v>
      </c>
      <c r="C589" s="218">
        <f t="shared" si="44"/>
        <v>0</v>
      </c>
      <c r="D589" s="219">
        <f>INDEX('Step 4 Stage Discharge'!E$26:F$126,MATCH(C589,'Step 4 Stage Discharge'!E$26:E$126,1),2)+(INDEX('Step 4 Stage Discharge'!E$26:F$126,MATCH(C589,'Step 4 Stage Discharge'!E$26:E$126,1)+1,2)-INDEX('Step 4 Stage Discharge'!E$26:F$126,MATCH(C589,'Step 4 Stage Discharge'!E$26:E$126,1),2))*(C589-INDEX('Step 4 Stage Discharge'!E$26:F$126,MATCH(C589,'Step 4 Stage Discharge'!E$26:E$126,1),1))/(INDEX('Step 4 Stage Discharge'!E$26:F$126,MATCH(C589,'Step 4 Stage Discharge'!E$26:E$126,1)+1,1)-INDEX('Step 4 Stage Discharge'!E$26:F$126,MATCH(C589,'Step 4 Stage Discharge'!E$26:E$126,1),1))</f>
        <v>0</v>
      </c>
      <c r="E589" s="219">
        <f>INDEX('Step 4 Stage Discharge'!E$26:M$126,MATCH(C589,'Step 4 Stage Discharge'!E$26:E$126,1),9)+(INDEX('Step 4 Stage Discharge'!E$26:M$126,MATCH('Step 6 Quality Check'!C589,'Step 4 Stage Discharge'!E$26:E$126,1)+1,9)-INDEX('Step 4 Stage Discharge'!E$26:M$126,MATCH('Step 6 Quality Check'!C589,'Step 4 Stage Discharge'!E$26:E$126,1),9))*('Step 6 Quality Check'!C589-INDEX('Step 4 Stage Discharge'!E$26:M$126,MATCH('Step 6 Quality Check'!C589,'Step 4 Stage Discharge'!E$26:E$126,1),1))/(INDEX('Step 4 Stage Discharge'!E$26:M$126,MATCH('Step 6 Quality Check'!C589,'Step 4 Stage Discharge'!E$26:E$126,1)+1,1)-INDEX('Step 4 Stage Discharge'!E$26:M$126,MATCH('Step 6 Quality Check'!C589,'Step 4 Stage Discharge'!E$26:E$126,1),1))</f>
        <v>4.3639431710317386E-3</v>
      </c>
      <c r="F589" s="218">
        <f t="shared" si="40"/>
        <v>0</v>
      </c>
      <c r="G589" s="218">
        <f t="shared" si="41"/>
        <v>0</v>
      </c>
    </row>
    <row r="590" spans="1:7">
      <c r="A590" s="217">
        <f t="shared" si="42"/>
        <v>2870</v>
      </c>
      <c r="B590" s="216">
        <f t="shared" si="43"/>
        <v>99.1</v>
      </c>
      <c r="C590" s="218">
        <f t="shared" si="44"/>
        <v>0</v>
      </c>
      <c r="D590" s="219">
        <f>INDEX('Step 4 Stage Discharge'!E$26:F$126,MATCH(C590,'Step 4 Stage Discharge'!E$26:E$126,1),2)+(INDEX('Step 4 Stage Discharge'!E$26:F$126,MATCH(C590,'Step 4 Stage Discharge'!E$26:E$126,1)+1,2)-INDEX('Step 4 Stage Discharge'!E$26:F$126,MATCH(C590,'Step 4 Stage Discharge'!E$26:E$126,1),2))*(C590-INDEX('Step 4 Stage Discharge'!E$26:F$126,MATCH(C590,'Step 4 Stage Discharge'!E$26:E$126,1),1))/(INDEX('Step 4 Stage Discharge'!E$26:F$126,MATCH(C590,'Step 4 Stage Discharge'!E$26:E$126,1)+1,1)-INDEX('Step 4 Stage Discharge'!E$26:F$126,MATCH(C590,'Step 4 Stage Discharge'!E$26:E$126,1),1))</f>
        <v>0</v>
      </c>
      <c r="E590" s="219">
        <f>INDEX('Step 4 Stage Discharge'!E$26:M$126,MATCH(C590,'Step 4 Stage Discharge'!E$26:E$126,1),9)+(INDEX('Step 4 Stage Discharge'!E$26:M$126,MATCH('Step 6 Quality Check'!C590,'Step 4 Stage Discharge'!E$26:E$126,1)+1,9)-INDEX('Step 4 Stage Discharge'!E$26:M$126,MATCH('Step 6 Quality Check'!C590,'Step 4 Stage Discharge'!E$26:E$126,1),9))*('Step 6 Quality Check'!C590-INDEX('Step 4 Stage Discharge'!E$26:M$126,MATCH('Step 6 Quality Check'!C590,'Step 4 Stage Discharge'!E$26:E$126,1),1))/(INDEX('Step 4 Stage Discharge'!E$26:M$126,MATCH('Step 6 Quality Check'!C590,'Step 4 Stage Discharge'!E$26:E$126,1)+1,1)-INDEX('Step 4 Stage Discharge'!E$26:M$126,MATCH('Step 6 Quality Check'!C590,'Step 4 Stage Discharge'!E$26:E$126,1),1))</f>
        <v>4.3639431710317386E-3</v>
      </c>
      <c r="F590" s="218">
        <f t="shared" si="40"/>
        <v>0</v>
      </c>
      <c r="G590" s="218">
        <f t="shared" si="41"/>
        <v>0</v>
      </c>
    </row>
    <row r="591" spans="1:7">
      <c r="A591" s="217">
        <f t="shared" si="42"/>
        <v>2875</v>
      </c>
      <c r="B591" s="216">
        <f t="shared" si="43"/>
        <v>99.1</v>
      </c>
      <c r="C591" s="218">
        <f t="shared" si="44"/>
        <v>0</v>
      </c>
      <c r="D591" s="219">
        <f>INDEX('Step 4 Stage Discharge'!E$26:F$126,MATCH(C591,'Step 4 Stage Discharge'!E$26:E$126,1),2)+(INDEX('Step 4 Stage Discharge'!E$26:F$126,MATCH(C591,'Step 4 Stage Discharge'!E$26:E$126,1)+1,2)-INDEX('Step 4 Stage Discharge'!E$26:F$126,MATCH(C591,'Step 4 Stage Discharge'!E$26:E$126,1),2))*(C591-INDEX('Step 4 Stage Discharge'!E$26:F$126,MATCH(C591,'Step 4 Stage Discharge'!E$26:E$126,1),1))/(INDEX('Step 4 Stage Discharge'!E$26:F$126,MATCH(C591,'Step 4 Stage Discharge'!E$26:E$126,1)+1,1)-INDEX('Step 4 Stage Discharge'!E$26:F$126,MATCH(C591,'Step 4 Stage Discharge'!E$26:E$126,1),1))</f>
        <v>0</v>
      </c>
      <c r="E591" s="219">
        <f>INDEX('Step 4 Stage Discharge'!E$26:M$126,MATCH(C591,'Step 4 Stage Discharge'!E$26:E$126,1),9)+(INDEX('Step 4 Stage Discharge'!E$26:M$126,MATCH('Step 6 Quality Check'!C591,'Step 4 Stage Discharge'!E$26:E$126,1)+1,9)-INDEX('Step 4 Stage Discharge'!E$26:M$126,MATCH('Step 6 Quality Check'!C591,'Step 4 Stage Discharge'!E$26:E$126,1),9))*('Step 6 Quality Check'!C591-INDEX('Step 4 Stage Discharge'!E$26:M$126,MATCH('Step 6 Quality Check'!C591,'Step 4 Stage Discharge'!E$26:E$126,1),1))/(INDEX('Step 4 Stage Discharge'!E$26:M$126,MATCH('Step 6 Quality Check'!C591,'Step 4 Stage Discharge'!E$26:E$126,1)+1,1)-INDEX('Step 4 Stage Discharge'!E$26:M$126,MATCH('Step 6 Quality Check'!C591,'Step 4 Stage Discharge'!E$26:E$126,1),1))</f>
        <v>4.3639431710317386E-3</v>
      </c>
      <c r="F591" s="218">
        <f t="shared" si="40"/>
        <v>0</v>
      </c>
      <c r="G591" s="218">
        <f t="shared" si="41"/>
        <v>0</v>
      </c>
    </row>
    <row r="592" spans="1:7">
      <c r="A592" s="217">
        <f t="shared" si="42"/>
        <v>2880</v>
      </c>
      <c r="B592" s="216">
        <f t="shared" si="43"/>
        <v>99.1</v>
      </c>
      <c r="C592" s="218">
        <f t="shared" si="44"/>
        <v>0</v>
      </c>
      <c r="D592" s="219">
        <f>INDEX('Step 4 Stage Discharge'!E$26:F$126,MATCH(C592,'Step 4 Stage Discharge'!E$26:E$126,1),2)+(INDEX('Step 4 Stage Discharge'!E$26:F$126,MATCH(C592,'Step 4 Stage Discharge'!E$26:E$126,1)+1,2)-INDEX('Step 4 Stage Discharge'!E$26:F$126,MATCH(C592,'Step 4 Stage Discharge'!E$26:E$126,1),2))*(C592-INDEX('Step 4 Stage Discharge'!E$26:F$126,MATCH(C592,'Step 4 Stage Discharge'!E$26:E$126,1),1))/(INDEX('Step 4 Stage Discharge'!E$26:F$126,MATCH(C592,'Step 4 Stage Discharge'!E$26:E$126,1)+1,1)-INDEX('Step 4 Stage Discharge'!E$26:F$126,MATCH(C592,'Step 4 Stage Discharge'!E$26:E$126,1),1))</f>
        <v>0</v>
      </c>
      <c r="E592" s="219">
        <f>INDEX('Step 4 Stage Discharge'!E$26:M$126,MATCH(C592,'Step 4 Stage Discharge'!E$26:E$126,1),9)+(INDEX('Step 4 Stage Discharge'!E$26:M$126,MATCH('Step 6 Quality Check'!C592,'Step 4 Stage Discharge'!E$26:E$126,1)+1,9)-INDEX('Step 4 Stage Discharge'!E$26:M$126,MATCH('Step 6 Quality Check'!C592,'Step 4 Stage Discharge'!E$26:E$126,1),9))*('Step 6 Quality Check'!C592-INDEX('Step 4 Stage Discharge'!E$26:M$126,MATCH('Step 6 Quality Check'!C592,'Step 4 Stage Discharge'!E$26:E$126,1),1))/(INDEX('Step 4 Stage Discharge'!E$26:M$126,MATCH('Step 6 Quality Check'!C592,'Step 4 Stage Discharge'!E$26:E$126,1)+1,1)-INDEX('Step 4 Stage Discharge'!E$26:M$126,MATCH('Step 6 Quality Check'!C592,'Step 4 Stage Discharge'!E$26:E$126,1),1))</f>
        <v>4.3639431710317386E-3</v>
      </c>
      <c r="F592" s="218">
        <f t="shared" ref="F592:F655" si="45">IF(E592*60*C$9&gt;C592,C592,E592*60*C$9)</f>
        <v>0</v>
      </c>
      <c r="G592" s="218">
        <f t="shared" ref="G592:G655" si="46">IF(C592-F592&lt;0,0,C592-F592)</f>
        <v>0</v>
      </c>
    </row>
    <row r="593" spans="1:7">
      <c r="A593" s="217">
        <f t="shared" ref="A593:A656" si="47">+A592+C$9</f>
        <v>2885</v>
      </c>
      <c r="B593" s="216">
        <f t="shared" si="43"/>
        <v>99.1</v>
      </c>
      <c r="C593" s="218">
        <f t="shared" si="44"/>
        <v>0</v>
      </c>
      <c r="D593" s="219">
        <f>INDEX('Step 4 Stage Discharge'!E$26:F$126,MATCH(C593,'Step 4 Stage Discharge'!E$26:E$126,1),2)+(INDEX('Step 4 Stage Discharge'!E$26:F$126,MATCH(C593,'Step 4 Stage Discharge'!E$26:E$126,1)+1,2)-INDEX('Step 4 Stage Discharge'!E$26:F$126,MATCH(C593,'Step 4 Stage Discharge'!E$26:E$126,1),2))*(C593-INDEX('Step 4 Stage Discharge'!E$26:F$126,MATCH(C593,'Step 4 Stage Discharge'!E$26:E$126,1),1))/(INDEX('Step 4 Stage Discharge'!E$26:F$126,MATCH(C593,'Step 4 Stage Discharge'!E$26:E$126,1)+1,1)-INDEX('Step 4 Stage Discharge'!E$26:F$126,MATCH(C593,'Step 4 Stage Discharge'!E$26:E$126,1),1))</f>
        <v>0</v>
      </c>
      <c r="E593" s="219">
        <f>INDEX('Step 4 Stage Discharge'!E$26:M$126,MATCH(C593,'Step 4 Stage Discharge'!E$26:E$126,1),9)+(INDEX('Step 4 Stage Discharge'!E$26:M$126,MATCH('Step 6 Quality Check'!C593,'Step 4 Stage Discharge'!E$26:E$126,1)+1,9)-INDEX('Step 4 Stage Discharge'!E$26:M$126,MATCH('Step 6 Quality Check'!C593,'Step 4 Stage Discharge'!E$26:E$126,1),9))*('Step 6 Quality Check'!C593-INDEX('Step 4 Stage Discharge'!E$26:M$126,MATCH('Step 6 Quality Check'!C593,'Step 4 Stage Discharge'!E$26:E$126,1),1))/(INDEX('Step 4 Stage Discharge'!E$26:M$126,MATCH('Step 6 Quality Check'!C593,'Step 4 Stage Discharge'!E$26:E$126,1)+1,1)-INDEX('Step 4 Stage Discharge'!E$26:M$126,MATCH('Step 6 Quality Check'!C593,'Step 4 Stage Discharge'!E$26:E$126,1),1))</f>
        <v>4.3639431710317386E-3</v>
      </c>
      <c r="F593" s="218">
        <f t="shared" si="45"/>
        <v>0</v>
      </c>
      <c r="G593" s="218">
        <f t="shared" si="46"/>
        <v>0</v>
      </c>
    </row>
    <row r="594" spans="1:7">
      <c r="A594" s="217">
        <f t="shared" si="47"/>
        <v>2890</v>
      </c>
      <c r="B594" s="216">
        <f t="shared" ref="B594:B657" si="48">C$6+D594</f>
        <v>99.1</v>
      </c>
      <c r="C594" s="218">
        <f t="shared" ref="C594:C657" si="49">+G593</f>
        <v>0</v>
      </c>
      <c r="D594" s="219">
        <f>INDEX('Step 4 Stage Discharge'!E$26:F$126,MATCH(C594,'Step 4 Stage Discharge'!E$26:E$126,1),2)+(INDEX('Step 4 Stage Discharge'!E$26:F$126,MATCH(C594,'Step 4 Stage Discharge'!E$26:E$126,1)+1,2)-INDEX('Step 4 Stage Discharge'!E$26:F$126,MATCH(C594,'Step 4 Stage Discharge'!E$26:E$126,1),2))*(C594-INDEX('Step 4 Stage Discharge'!E$26:F$126,MATCH(C594,'Step 4 Stage Discharge'!E$26:E$126,1),1))/(INDEX('Step 4 Stage Discharge'!E$26:F$126,MATCH(C594,'Step 4 Stage Discharge'!E$26:E$126,1)+1,1)-INDEX('Step 4 Stage Discharge'!E$26:F$126,MATCH(C594,'Step 4 Stage Discharge'!E$26:E$126,1),1))</f>
        <v>0</v>
      </c>
      <c r="E594" s="219">
        <f>INDEX('Step 4 Stage Discharge'!E$26:M$126,MATCH(C594,'Step 4 Stage Discharge'!E$26:E$126,1),9)+(INDEX('Step 4 Stage Discharge'!E$26:M$126,MATCH('Step 6 Quality Check'!C594,'Step 4 Stage Discharge'!E$26:E$126,1)+1,9)-INDEX('Step 4 Stage Discharge'!E$26:M$126,MATCH('Step 6 Quality Check'!C594,'Step 4 Stage Discharge'!E$26:E$126,1),9))*('Step 6 Quality Check'!C594-INDEX('Step 4 Stage Discharge'!E$26:M$126,MATCH('Step 6 Quality Check'!C594,'Step 4 Stage Discharge'!E$26:E$126,1),1))/(INDEX('Step 4 Stage Discharge'!E$26:M$126,MATCH('Step 6 Quality Check'!C594,'Step 4 Stage Discharge'!E$26:E$126,1)+1,1)-INDEX('Step 4 Stage Discharge'!E$26:M$126,MATCH('Step 6 Quality Check'!C594,'Step 4 Stage Discharge'!E$26:E$126,1),1))</f>
        <v>4.3639431710317386E-3</v>
      </c>
      <c r="F594" s="218">
        <f t="shared" si="45"/>
        <v>0</v>
      </c>
      <c r="G594" s="218">
        <f t="shared" si="46"/>
        <v>0</v>
      </c>
    </row>
    <row r="595" spans="1:7">
      <c r="A595" s="217">
        <f t="shared" si="47"/>
        <v>2895</v>
      </c>
      <c r="B595" s="216">
        <f t="shared" si="48"/>
        <v>99.1</v>
      </c>
      <c r="C595" s="218">
        <f t="shared" si="49"/>
        <v>0</v>
      </c>
      <c r="D595" s="219">
        <f>INDEX('Step 4 Stage Discharge'!E$26:F$126,MATCH(C595,'Step 4 Stage Discharge'!E$26:E$126,1),2)+(INDEX('Step 4 Stage Discharge'!E$26:F$126,MATCH(C595,'Step 4 Stage Discharge'!E$26:E$126,1)+1,2)-INDEX('Step 4 Stage Discharge'!E$26:F$126,MATCH(C595,'Step 4 Stage Discharge'!E$26:E$126,1),2))*(C595-INDEX('Step 4 Stage Discharge'!E$26:F$126,MATCH(C595,'Step 4 Stage Discharge'!E$26:E$126,1),1))/(INDEX('Step 4 Stage Discharge'!E$26:F$126,MATCH(C595,'Step 4 Stage Discharge'!E$26:E$126,1)+1,1)-INDEX('Step 4 Stage Discharge'!E$26:F$126,MATCH(C595,'Step 4 Stage Discharge'!E$26:E$126,1),1))</f>
        <v>0</v>
      </c>
      <c r="E595" s="219">
        <f>INDEX('Step 4 Stage Discharge'!E$26:M$126,MATCH(C595,'Step 4 Stage Discharge'!E$26:E$126,1),9)+(INDEX('Step 4 Stage Discharge'!E$26:M$126,MATCH('Step 6 Quality Check'!C595,'Step 4 Stage Discharge'!E$26:E$126,1)+1,9)-INDEX('Step 4 Stage Discharge'!E$26:M$126,MATCH('Step 6 Quality Check'!C595,'Step 4 Stage Discharge'!E$26:E$126,1),9))*('Step 6 Quality Check'!C595-INDEX('Step 4 Stage Discharge'!E$26:M$126,MATCH('Step 6 Quality Check'!C595,'Step 4 Stage Discharge'!E$26:E$126,1),1))/(INDEX('Step 4 Stage Discharge'!E$26:M$126,MATCH('Step 6 Quality Check'!C595,'Step 4 Stage Discharge'!E$26:E$126,1)+1,1)-INDEX('Step 4 Stage Discharge'!E$26:M$126,MATCH('Step 6 Quality Check'!C595,'Step 4 Stage Discharge'!E$26:E$126,1),1))</f>
        <v>4.3639431710317386E-3</v>
      </c>
      <c r="F595" s="218">
        <f t="shared" si="45"/>
        <v>0</v>
      </c>
      <c r="G595" s="218">
        <f t="shared" si="46"/>
        <v>0</v>
      </c>
    </row>
    <row r="596" spans="1:7">
      <c r="A596" s="217">
        <f t="shared" si="47"/>
        <v>2900</v>
      </c>
      <c r="B596" s="216">
        <f t="shared" si="48"/>
        <v>99.1</v>
      </c>
      <c r="C596" s="218">
        <f t="shared" si="49"/>
        <v>0</v>
      </c>
      <c r="D596" s="219">
        <f>INDEX('Step 4 Stage Discharge'!E$26:F$126,MATCH(C596,'Step 4 Stage Discharge'!E$26:E$126,1),2)+(INDEX('Step 4 Stage Discharge'!E$26:F$126,MATCH(C596,'Step 4 Stage Discharge'!E$26:E$126,1)+1,2)-INDEX('Step 4 Stage Discharge'!E$26:F$126,MATCH(C596,'Step 4 Stage Discharge'!E$26:E$126,1),2))*(C596-INDEX('Step 4 Stage Discharge'!E$26:F$126,MATCH(C596,'Step 4 Stage Discharge'!E$26:E$126,1),1))/(INDEX('Step 4 Stage Discharge'!E$26:F$126,MATCH(C596,'Step 4 Stage Discharge'!E$26:E$126,1)+1,1)-INDEX('Step 4 Stage Discharge'!E$26:F$126,MATCH(C596,'Step 4 Stage Discharge'!E$26:E$126,1),1))</f>
        <v>0</v>
      </c>
      <c r="E596" s="219">
        <f>INDEX('Step 4 Stage Discharge'!E$26:M$126,MATCH(C596,'Step 4 Stage Discharge'!E$26:E$126,1),9)+(INDEX('Step 4 Stage Discharge'!E$26:M$126,MATCH('Step 6 Quality Check'!C596,'Step 4 Stage Discharge'!E$26:E$126,1)+1,9)-INDEX('Step 4 Stage Discharge'!E$26:M$126,MATCH('Step 6 Quality Check'!C596,'Step 4 Stage Discharge'!E$26:E$126,1),9))*('Step 6 Quality Check'!C596-INDEX('Step 4 Stage Discharge'!E$26:M$126,MATCH('Step 6 Quality Check'!C596,'Step 4 Stage Discharge'!E$26:E$126,1),1))/(INDEX('Step 4 Stage Discharge'!E$26:M$126,MATCH('Step 6 Quality Check'!C596,'Step 4 Stage Discharge'!E$26:E$126,1)+1,1)-INDEX('Step 4 Stage Discharge'!E$26:M$126,MATCH('Step 6 Quality Check'!C596,'Step 4 Stage Discharge'!E$26:E$126,1),1))</f>
        <v>4.3639431710317386E-3</v>
      </c>
      <c r="F596" s="218">
        <f t="shared" si="45"/>
        <v>0</v>
      </c>
      <c r="G596" s="218">
        <f t="shared" si="46"/>
        <v>0</v>
      </c>
    </row>
    <row r="597" spans="1:7">
      <c r="A597" s="217">
        <f t="shared" si="47"/>
        <v>2905</v>
      </c>
      <c r="B597" s="216">
        <f t="shared" si="48"/>
        <v>99.1</v>
      </c>
      <c r="C597" s="218">
        <f t="shared" si="49"/>
        <v>0</v>
      </c>
      <c r="D597" s="219">
        <f>INDEX('Step 4 Stage Discharge'!E$26:F$126,MATCH(C597,'Step 4 Stage Discharge'!E$26:E$126,1),2)+(INDEX('Step 4 Stage Discharge'!E$26:F$126,MATCH(C597,'Step 4 Stage Discharge'!E$26:E$126,1)+1,2)-INDEX('Step 4 Stage Discharge'!E$26:F$126,MATCH(C597,'Step 4 Stage Discharge'!E$26:E$126,1),2))*(C597-INDEX('Step 4 Stage Discharge'!E$26:F$126,MATCH(C597,'Step 4 Stage Discharge'!E$26:E$126,1),1))/(INDEX('Step 4 Stage Discharge'!E$26:F$126,MATCH(C597,'Step 4 Stage Discharge'!E$26:E$126,1)+1,1)-INDEX('Step 4 Stage Discharge'!E$26:F$126,MATCH(C597,'Step 4 Stage Discharge'!E$26:E$126,1),1))</f>
        <v>0</v>
      </c>
      <c r="E597" s="219">
        <f>INDEX('Step 4 Stage Discharge'!E$26:M$126,MATCH(C597,'Step 4 Stage Discharge'!E$26:E$126,1),9)+(INDEX('Step 4 Stage Discharge'!E$26:M$126,MATCH('Step 6 Quality Check'!C597,'Step 4 Stage Discharge'!E$26:E$126,1)+1,9)-INDEX('Step 4 Stage Discharge'!E$26:M$126,MATCH('Step 6 Quality Check'!C597,'Step 4 Stage Discharge'!E$26:E$126,1),9))*('Step 6 Quality Check'!C597-INDEX('Step 4 Stage Discharge'!E$26:M$126,MATCH('Step 6 Quality Check'!C597,'Step 4 Stage Discharge'!E$26:E$126,1),1))/(INDEX('Step 4 Stage Discharge'!E$26:M$126,MATCH('Step 6 Quality Check'!C597,'Step 4 Stage Discharge'!E$26:E$126,1)+1,1)-INDEX('Step 4 Stage Discharge'!E$26:M$126,MATCH('Step 6 Quality Check'!C597,'Step 4 Stage Discharge'!E$26:E$126,1),1))</f>
        <v>4.3639431710317386E-3</v>
      </c>
      <c r="F597" s="218">
        <f t="shared" si="45"/>
        <v>0</v>
      </c>
      <c r="G597" s="218">
        <f t="shared" si="46"/>
        <v>0</v>
      </c>
    </row>
    <row r="598" spans="1:7">
      <c r="A598" s="217">
        <f t="shared" si="47"/>
        <v>2910</v>
      </c>
      <c r="B598" s="216">
        <f t="shared" si="48"/>
        <v>99.1</v>
      </c>
      <c r="C598" s="218">
        <f t="shared" si="49"/>
        <v>0</v>
      </c>
      <c r="D598" s="219">
        <f>INDEX('Step 4 Stage Discharge'!E$26:F$126,MATCH(C598,'Step 4 Stage Discharge'!E$26:E$126,1),2)+(INDEX('Step 4 Stage Discharge'!E$26:F$126,MATCH(C598,'Step 4 Stage Discharge'!E$26:E$126,1)+1,2)-INDEX('Step 4 Stage Discharge'!E$26:F$126,MATCH(C598,'Step 4 Stage Discharge'!E$26:E$126,1),2))*(C598-INDEX('Step 4 Stage Discharge'!E$26:F$126,MATCH(C598,'Step 4 Stage Discharge'!E$26:E$126,1),1))/(INDEX('Step 4 Stage Discharge'!E$26:F$126,MATCH(C598,'Step 4 Stage Discharge'!E$26:E$126,1)+1,1)-INDEX('Step 4 Stage Discharge'!E$26:F$126,MATCH(C598,'Step 4 Stage Discharge'!E$26:E$126,1),1))</f>
        <v>0</v>
      </c>
      <c r="E598" s="219">
        <f>INDEX('Step 4 Stage Discharge'!E$26:M$126,MATCH(C598,'Step 4 Stage Discharge'!E$26:E$126,1),9)+(INDEX('Step 4 Stage Discharge'!E$26:M$126,MATCH('Step 6 Quality Check'!C598,'Step 4 Stage Discharge'!E$26:E$126,1)+1,9)-INDEX('Step 4 Stage Discharge'!E$26:M$126,MATCH('Step 6 Quality Check'!C598,'Step 4 Stage Discharge'!E$26:E$126,1),9))*('Step 6 Quality Check'!C598-INDEX('Step 4 Stage Discharge'!E$26:M$126,MATCH('Step 6 Quality Check'!C598,'Step 4 Stage Discharge'!E$26:E$126,1),1))/(INDEX('Step 4 Stage Discharge'!E$26:M$126,MATCH('Step 6 Quality Check'!C598,'Step 4 Stage Discharge'!E$26:E$126,1)+1,1)-INDEX('Step 4 Stage Discharge'!E$26:M$126,MATCH('Step 6 Quality Check'!C598,'Step 4 Stage Discharge'!E$26:E$126,1),1))</f>
        <v>4.3639431710317386E-3</v>
      </c>
      <c r="F598" s="218">
        <f t="shared" si="45"/>
        <v>0</v>
      </c>
      <c r="G598" s="218">
        <f t="shared" si="46"/>
        <v>0</v>
      </c>
    </row>
    <row r="599" spans="1:7">
      <c r="A599" s="217">
        <f t="shared" si="47"/>
        <v>2915</v>
      </c>
      <c r="B599" s="216">
        <f t="shared" si="48"/>
        <v>99.1</v>
      </c>
      <c r="C599" s="218">
        <f t="shared" si="49"/>
        <v>0</v>
      </c>
      <c r="D599" s="219">
        <f>INDEX('Step 4 Stage Discharge'!E$26:F$126,MATCH(C599,'Step 4 Stage Discharge'!E$26:E$126,1),2)+(INDEX('Step 4 Stage Discharge'!E$26:F$126,MATCH(C599,'Step 4 Stage Discharge'!E$26:E$126,1)+1,2)-INDEX('Step 4 Stage Discharge'!E$26:F$126,MATCH(C599,'Step 4 Stage Discharge'!E$26:E$126,1),2))*(C599-INDEX('Step 4 Stage Discharge'!E$26:F$126,MATCH(C599,'Step 4 Stage Discharge'!E$26:E$126,1),1))/(INDEX('Step 4 Stage Discharge'!E$26:F$126,MATCH(C599,'Step 4 Stage Discharge'!E$26:E$126,1)+1,1)-INDEX('Step 4 Stage Discharge'!E$26:F$126,MATCH(C599,'Step 4 Stage Discharge'!E$26:E$126,1),1))</f>
        <v>0</v>
      </c>
      <c r="E599" s="219">
        <f>INDEX('Step 4 Stage Discharge'!E$26:M$126,MATCH(C599,'Step 4 Stage Discharge'!E$26:E$126,1),9)+(INDEX('Step 4 Stage Discharge'!E$26:M$126,MATCH('Step 6 Quality Check'!C599,'Step 4 Stage Discharge'!E$26:E$126,1)+1,9)-INDEX('Step 4 Stage Discharge'!E$26:M$126,MATCH('Step 6 Quality Check'!C599,'Step 4 Stage Discharge'!E$26:E$126,1),9))*('Step 6 Quality Check'!C599-INDEX('Step 4 Stage Discharge'!E$26:M$126,MATCH('Step 6 Quality Check'!C599,'Step 4 Stage Discharge'!E$26:E$126,1),1))/(INDEX('Step 4 Stage Discharge'!E$26:M$126,MATCH('Step 6 Quality Check'!C599,'Step 4 Stage Discharge'!E$26:E$126,1)+1,1)-INDEX('Step 4 Stage Discharge'!E$26:M$126,MATCH('Step 6 Quality Check'!C599,'Step 4 Stage Discharge'!E$26:E$126,1),1))</f>
        <v>4.3639431710317386E-3</v>
      </c>
      <c r="F599" s="218">
        <f t="shared" si="45"/>
        <v>0</v>
      </c>
      <c r="G599" s="218">
        <f t="shared" si="46"/>
        <v>0</v>
      </c>
    </row>
    <row r="600" spans="1:7">
      <c r="A600" s="217">
        <f t="shared" si="47"/>
        <v>2920</v>
      </c>
      <c r="B600" s="216">
        <f t="shared" si="48"/>
        <v>99.1</v>
      </c>
      <c r="C600" s="218">
        <f t="shared" si="49"/>
        <v>0</v>
      </c>
      <c r="D600" s="219">
        <f>INDEX('Step 4 Stage Discharge'!E$26:F$126,MATCH(C600,'Step 4 Stage Discharge'!E$26:E$126,1),2)+(INDEX('Step 4 Stage Discharge'!E$26:F$126,MATCH(C600,'Step 4 Stage Discharge'!E$26:E$126,1)+1,2)-INDEX('Step 4 Stage Discharge'!E$26:F$126,MATCH(C600,'Step 4 Stage Discharge'!E$26:E$126,1),2))*(C600-INDEX('Step 4 Stage Discharge'!E$26:F$126,MATCH(C600,'Step 4 Stage Discharge'!E$26:E$126,1),1))/(INDEX('Step 4 Stage Discharge'!E$26:F$126,MATCH(C600,'Step 4 Stage Discharge'!E$26:E$126,1)+1,1)-INDEX('Step 4 Stage Discharge'!E$26:F$126,MATCH(C600,'Step 4 Stage Discharge'!E$26:E$126,1),1))</f>
        <v>0</v>
      </c>
      <c r="E600" s="219">
        <f>INDEX('Step 4 Stage Discharge'!E$26:M$126,MATCH(C600,'Step 4 Stage Discharge'!E$26:E$126,1),9)+(INDEX('Step 4 Stage Discharge'!E$26:M$126,MATCH('Step 6 Quality Check'!C600,'Step 4 Stage Discharge'!E$26:E$126,1)+1,9)-INDEX('Step 4 Stage Discharge'!E$26:M$126,MATCH('Step 6 Quality Check'!C600,'Step 4 Stage Discharge'!E$26:E$126,1),9))*('Step 6 Quality Check'!C600-INDEX('Step 4 Stage Discharge'!E$26:M$126,MATCH('Step 6 Quality Check'!C600,'Step 4 Stage Discharge'!E$26:E$126,1),1))/(INDEX('Step 4 Stage Discharge'!E$26:M$126,MATCH('Step 6 Quality Check'!C600,'Step 4 Stage Discharge'!E$26:E$126,1)+1,1)-INDEX('Step 4 Stage Discharge'!E$26:M$126,MATCH('Step 6 Quality Check'!C600,'Step 4 Stage Discharge'!E$26:E$126,1),1))</f>
        <v>4.3639431710317386E-3</v>
      </c>
      <c r="F600" s="218">
        <f t="shared" si="45"/>
        <v>0</v>
      </c>
      <c r="G600" s="218">
        <f t="shared" si="46"/>
        <v>0</v>
      </c>
    </row>
    <row r="601" spans="1:7">
      <c r="A601" s="217">
        <f t="shared" si="47"/>
        <v>2925</v>
      </c>
      <c r="B601" s="216">
        <f t="shared" si="48"/>
        <v>99.1</v>
      </c>
      <c r="C601" s="218">
        <f t="shared" si="49"/>
        <v>0</v>
      </c>
      <c r="D601" s="219">
        <f>INDEX('Step 4 Stage Discharge'!E$26:F$126,MATCH(C601,'Step 4 Stage Discharge'!E$26:E$126,1),2)+(INDEX('Step 4 Stage Discharge'!E$26:F$126,MATCH(C601,'Step 4 Stage Discharge'!E$26:E$126,1)+1,2)-INDEX('Step 4 Stage Discharge'!E$26:F$126,MATCH(C601,'Step 4 Stage Discharge'!E$26:E$126,1),2))*(C601-INDEX('Step 4 Stage Discharge'!E$26:F$126,MATCH(C601,'Step 4 Stage Discharge'!E$26:E$126,1),1))/(INDEX('Step 4 Stage Discharge'!E$26:F$126,MATCH(C601,'Step 4 Stage Discharge'!E$26:E$126,1)+1,1)-INDEX('Step 4 Stage Discharge'!E$26:F$126,MATCH(C601,'Step 4 Stage Discharge'!E$26:E$126,1),1))</f>
        <v>0</v>
      </c>
      <c r="E601" s="219">
        <f>INDEX('Step 4 Stage Discharge'!E$26:M$126,MATCH(C601,'Step 4 Stage Discharge'!E$26:E$126,1),9)+(INDEX('Step 4 Stage Discharge'!E$26:M$126,MATCH('Step 6 Quality Check'!C601,'Step 4 Stage Discharge'!E$26:E$126,1)+1,9)-INDEX('Step 4 Stage Discharge'!E$26:M$126,MATCH('Step 6 Quality Check'!C601,'Step 4 Stage Discharge'!E$26:E$126,1),9))*('Step 6 Quality Check'!C601-INDEX('Step 4 Stage Discharge'!E$26:M$126,MATCH('Step 6 Quality Check'!C601,'Step 4 Stage Discharge'!E$26:E$126,1),1))/(INDEX('Step 4 Stage Discharge'!E$26:M$126,MATCH('Step 6 Quality Check'!C601,'Step 4 Stage Discharge'!E$26:E$126,1)+1,1)-INDEX('Step 4 Stage Discharge'!E$26:M$126,MATCH('Step 6 Quality Check'!C601,'Step 4 Stage Discharge'!E$26:E$126,1),1))</f>
        <v>4.3639431710317386E-3</v>
      </c>
      <c r="F601" s="218">
        <f t="shared" si="45"/>
        <v>0</v>
      </c>
      <c r="G601" s="218">
        <f t="shared" si="46"/>
        <v>0</v>
      </c>
    </row>
    <row r="602" spans="1:7">
      <c r="A602" s="217">
        <f t="shared" si="47"/>
        <v>2930</v>
      </c>
      <c r="B602" s="216">
        <f t="shared" si="48"/>
        <v>99.1</v>
      </c>
      <c r="C602" s="218">
        <f t="shared" si="49"/>
        <v>0</v>
      </c>
      <c r="D602" s="219">
        <f>INDEX('Step 4 Stage Discharge'!E$26:F$126,MATCH(C602,'Step 4 Stage Discharge'!E$26:E$126,1),2)+(INDEX('Step 4 Stage Discharge'!E$26:F$126,MATCH(C602,'Step 4 Stage Discharge'!E$26:E$126,1)+1,2)-INDEX('Step 4 Stage Discharge'!E$26:F$126,MATCH(C602,'Step 4 Stage Discharge'!E$26:E$126,1),2))*(C602-INDEX('Step 4 Stage Discharge'!E$26:F$126,MATCH(C602,'Step 4 Stage Discharge'!E$26:E$126,1),1))/(INDEX('Step 4 Stage Discharge'!E$26:F$126,MATCH(C602,'Step 4 Stage Discharge'!E$26:E$126,1)+1,1)-INDEX('Step 4 Stage Discharge'!E$26:F$126,MATCH(C602,'Step 4 Stage Discharge'!E$26:E$126,1),1))</f>
        <v>0</v>
      </c>
      <c r="E602" s="219">
        <f>INDEX('Step 4 Stage Discharge'!E$26:M$126,MATCH(C602,'Step 4 Stage Discharge'!E$26:E$126,1),9)+(INDEX('Step 4 Stage Discharge'!E$26:M$126,MATCH('Step 6 Quality Check'!C602,'Step 4 Stage Discharge'!E$26:E$126,1)+1,9)-INDEX('Step 4 Stage Discharge'!E$26:M$126,MATCH('Step 6 Quality Check'!C602,'Step 4 Stage Discharge'!E$26:E$126,1),9))*('Step 6 Quality Check'!C602-INDEX('Step 4 Stage Discharge'!E$26:M$126,MATCH('Step 6 Quality Check'!C602,'Step 4 Stage Discharge'!E$26:E$126,1),1))/(INDEX('Step 4 Stage Discharge'!E$26:M$126,MATCH('Step 6 Quality Check'!C602,'Step 4 Stage Discharge'!E$26:E$126,1)+1,1)-INDEX('Step 4 Stage Discharge'!E$26:M$126,MATCH('Step 6 Quality Check'!C602,'Step 4 Stage Discharge'!E$26:E$126,1),1))</f>
        <v>4.3639431710317386E-3</v>
      </c>
      <c r="F602" s="218">
        <f t="shared" si="45"/>
        <v>0</v>
      </c>
      <c r="G602" s="218">
        <f t="shared" si="46"/>
        <v>0</v>
      </c>
    </row>
    <row r="603" spans="1:7">
      <c r="A603" s="217">
        <f t="shared" si="47"/>
        <v>2935</v>
      </c>
      <c r="B603" s="216">
        <f t="shared" si="48"/>
        <v>99.1</v>
      </c>
      <c r="C603" s="218">
        <f t="shared" si="49"/>
        <v>0</v>
      </c>
      <c r="D603" s="219">
        <f>INDEX('Step 4 Stage Discharge'!E$26:F$126,MATCH(C603,'Step 4 Stage Discharge'!E$26:E$126,1),2)+(INDEX('Step 4 Stage Discharge'!E$26:F$126,MATCH(C603,'Step 4 Stage Discharge'!E$26:E$126,1)+1,2)-INDEX('Step 4 Stage Discharge'!E$26:F$126,MATCH(C603,'Step 4 Stage Discharge'!E$26:E$126,1),2))*(C603-INDEX('Step 4 Stage Discharge'!E$26:F$126,MATCH(C603,'Step 4 Stage Discharge'!E$26:E$126,1),1))/(INDEX('Step 4 Stage Discharge'!E$26:F$126,MATCH(C603,'Step 4 Stage Discharge'!E$26:E$126,1)+1,1)-INDEX('Step 4 Stage Discharge'!E$26:F$126,MATCH(C603,'Step 4 Stage Discharge'!E$26:E$126,1),1))</f>
        <v>0</v>
      </c>
      <c r="E603" s="219">
        <f>INDEX('Step 4 Stage Discharge'!E$26:M$126,MATCH(C603,'Step 4 Stage Discharge'!E$26:E$126,1),9)+(INDEX('Step 4 Stage Discharge'!E$26:M$126,MATCH('Step 6 Quality Check'!C603,'Step 4 Stage Discharge'!E$26:E$126,1)+1,9)-INDEX('Step 4 Stage Discharge'!E$26:M$126,MATCH('Step 6 Quality Check'!C603,'Step 4 Stage Discharge'!E$26:E$126,1),9))*('Step 6 Quality Check'!C603-INDEX('Step 4 Stage Discharge'!E$26:M$126,MATCH('Step 6 Quality Check'!C603,'Step 4 Stage Discharge'!E$26:E$126,1),1))/(INDEX('Step 4 Stage Discharge'!E$26:M$126,MATCH('Step 6 Quality Check'!C603,'Step 4 Stage Discharge'!E$26:E$126,1)+1,1)-INDEX('Step 4 Stage Discharge'!E$26:M$126,MATCH('Step 6 Quality Check'!C603,'Step 4 Stage Discharge'!E$26:E$126,1),1))</f>
        <v>4.3639431710317386E-3</v>
      </c>
      <c r="F603" s="218">
        <f t="shared" si="45"/>
        <v>0</v>
      </c>
      <c r="G603" s="218">
        <f t="shared" si="46"/>
        <v>0</v>
      </c>
    </row>
    <row r="604" spans="1:7">
      <c r="A604" s="217">
        <f t="shared" si="47"/>
        <v>2940</v>
      </c>
      <c r="B604" s="216">
        <f t="shared" si="48"/>
        <v>99.1</v>
      </c>
      <c r="C604" s="218">
        <f t="shared" si="49"/>
        <v>0</v>
      </c>
      <c r="D604" s="219">
        <f>INDEX('Step 4 Stage Discharge'!E$26:F$126,MATCH(C604,'Step 4 Stage Discharge'!E$26:E$126,1),2)+(INDEX('Step 4 Stage Discharge'!E$26:F$126,MATCH(C604,'Step 4 Stage Discharge'!E$26:E$126,1)+1,2)-INDEX('Step 4 Stage Discharge'!E$26:F$126,MATCH(C604,'Step 4 Stage Discharge'!E$26:E$126,1),2))*(C604-INDEX('Step 4 Stage Discharge'!E$26:F$126,MATCH(C604,'Step 4 Stage Discharge'!E$26:E$126,1),1))/(INDEX('Step 4 Stage Discharge'!E$26:F$126,MATCH(C604,'Step 4 Stage Discharge'!E$26:E$126,1)+1,1)-INDEX('Step 4 Stage Discharge'!E$26:F$126,MATCH(C604,'Step 4 Stage Discharge'!E$26:E$126,1),1))</f>
        <v>0</v>
      </c>
      <c r="E604" s="219">
        <f>INDEX('Step 4 Stage Discharge'!E$26:M$126,MATCH(C604,'Step 4 Stage Discharge'!E$26:E$126,1),9)+(INDEX('Step 4 Stage Discharge'!E$26:M$126,MATCH('Step 6 Quality Check'!C604,'Step 4 Stage Discharge'!E$26:E$126,1)+1,9)-INDEX('Step 4 Stage Discharge'!E$26:M$126,MATCH('Step 6 Quality Check'!C604,'Step 4 Stage Discharge'!E$26:E$126,1),9))*('Step 6 Quality Check'!C604-INDEX('Step 4 Stage Discharge'!E$26:M$126,MATCH('Step 6 Quality Check'!C604,'Step 4 Stage Discharge'!E$26:E$126,1),1))/(INDEX('Step 4 Stage Discharge'!E$26:M$126,MATCH('Step 6 Quality Check'!C604,'Step 4 Stage Discharge'!E$26:E$126,1)+1,1)-INDEX('Step 4 Stage Discharge'!E$26:M$126,MATCH('Step 6 Quality Check'!C604,'Step 4 Stage Discharge'!E$26:E$126,1),1))</f>
        <v>4.3639431710317386E-3</v>
      </c>
      <c r="F604" s="218">
        <f t="shared" si="45"/>
        <v>0</v>
      </c>
      <c r="G604" s="218">
        <f t="shared" si="46"/>
        <v>0</v>
      </c>
    </row>
    <row r="605" spans="1:7">
      <c r="A605" s="217">
        <f t="shared" si="47"/>
        <v>2945</v>
      </c>
      <c r="B605" s="216">
        <f t="shared" si="48"/>
        <v>99.1</v>
      </c>
      <c r="C605" s="218">
        <f t="shared" si="49"/>
        <v>0</v>
      </c>
      <c r="D605" s="219">
        <f>INDEX('Step 4 Stage Discharge'!E$26:F$126,MATCH(C605,'Step 4 Stage Discharge'!E$26:E$126,1),2)+(INDEX('Step 4 Stage Discharge'!E$26:F$126,MATCH(C605,'Step 4 Stage Discharge'!E$26:E$126,1)+1,2)-INDEX('Step 4 Stage Discharge'!E$26:F$126,MATCH(C605,'Step 4 Stage Discharge'!E$26:E$126,1),2))*(C605-INDEX('Step 4 Stage Discharge'!E$26:F$126,MATCH(C605,'Step 4 Stage Discharge'!E$26:E$126,1),1))/(INDEX('Step 4 Stage Discharge'!E$26:F$126,MATCH(C605,'Step 4 Stage Discharge'!E$26:E$126,1)+1,1)-INDEX('Step 4 Stage Discharge'!E$26:F$126,MATCH(C605,'Step 4 Stage Discharge'!E$26:E$126,1),1))</f>
        <v>0</v>
      </c>
      <c r="E605" s="219">
        <f>INDEX('Step 4 Stage Discharge'!E$26:M$126,MATCH(C605,'Step 4 Stage Discharge'!E$26:E$126,1),9)+(INDEX('Step 4 Stage Discharge'!E$26:M$126,MATCH('Step 6 Quality Check'!C605,'Step 4 Stage Discharge'!E$26:E$126,1)+1,9)-INDEX('Step 4 Stage Discharge'!E$26:M$126,MATCH('Step 6 Quality Check'!C605,'Step 4 Stage Discharge'!E$26:E$126,1),9))*('Step 6 Quality Check'!C605-INDEX('Step 4 Stage Discharge'!E$26:M$126,MATCH('Step 6 Quality Check'!C605,'Step 4 Stage Discharge'!E$26:E$126,1),1))/(INDEX('Step 4 Stage Discharge'!E$26:M$126,MATCH('Step 6 Quality Check'!C605,'Step 4 Stage Discharge'!E$26:E$126,1)+1,1)-INDEX('Step 4 Stage Discharge'!E$26:M$126,MATCH('Step 6 Quality Check'!C605,'Step 4 Stage Discharge'!E$26:E$126,1),1))</f>
        <v>4.3639431710317386E-3</v>
      </c>
      <c r="F605" s="218">
        <f t="shared" si="45"/>
        <v>0</v>
      </c>
      <c r="G605" s="218">
        <f t="shared" si="46"/>
        <v>0</v>
      </c>
    </row>
    <row r="606" spans="1:7">
      <c r="A606" s="217">
        <f t="shared" si="47"/>
        <v>2950</v>
      </c>
      <c r="B606" s="216">
        <f t="shared" si="48"/>
        <v>99.1</v>
      </c>
      <c r="C606" s="218">
        <f t="shared" si="49"/>
        <v>0</v>
      </c>
      <c r="D606" s="219">
        <f>INDEX('Step 4 Stage Discharge'!E$26:F$126,MATCH(C606,'Step 4 Stage Discharge'!E$26:E$126,1),2)+(INDEX('Step 4 Stage Discharge'!E$26:F$126,MATCH(C606,'Step 4 Stage Discharge'!E$26:E$126,1)+1,2)-INDEX('Step 4 Stage Discharge'!E$26:F$126,MATCH(C606,'Step 4 Stage Discharge'!E$26:E$126,1),2))*(C606-INDEX('Step 4 Stage Discharge'!E$26:F$126,MATCH(C606,'Step 4 Stage Discharge'!E$26:E$126,1),1))/(INDEX('Step 4 Stage Discharge'!E$26:F$126,MATCH(C606,'Step 4 Stage Discharge'!E$26:E$126,1)+1,1)-INDEX('Step 4 Stage Discharge'!E$26:F$126,MATCH(C606,'Step 4 Stage Discharge'!E$26:E$126,1),1))</f>
        <v>0</v>
      </c>
      <c r="E606" s="219">
        <f>INDEX('Step 4 Stage Discharge'!E$26:M$126,MATCH(C606,'Step 4 Stage Discharge'!E$26:E$126,1),9)+(INDEX('Step 4 Stage Discharge'!E$26:M$126,MATCH('Step 6 Quality Check'!C606,'Step 4 Stage Discharge'!E$26:E$126,1)+1,9)-INDEX('Step 4 Stage Discharge'!E$26:M$126,MATCH('Step 6 Quality Check'!C606,'Step 4 Stage Discharge'!E$26:E$126,1),9))*('Step 6 Quality Check'!C606-INDEX('Step 4 Stage Discharge'!E$26:M$126,MATCH('Step 6 Quality Check'!C606,'Step 4 Stage Discharge'!E$26:E$126,1),1))/(INDEX('Step 4 Stage Discharge'!E$26:M$126,MATCH('Step 6 Quality Check'!C606,'Step 4 Stage Discharge'!E$26:E$126,1)+1,1)-INDEX('Step 4 Stage Discharge'!E$26:M$126,MATCH('Step 6 Quality Check'!C606,'Step 4 Stage Discharge'!E$26:E$126,1),1))</f>
        <v>4.3639431710317386E-3</v>
      </c>
      <c r="F606" s="218">
        <f t="shared" si="45"/>
        <v>0</v>
      </c>
      <c r="G606" s="218">
        <f t="shared" si="46"/>
        <v>0</v>
      </c>
    </row>
    <row r="607" spans="1:7">
      <c r="A607" s="217">
        <f t="shared" si="47"/>
        <v>2955</v>
      </c>
      <c r="B607" s="216">
        <f t="shared" si="48"/>
        <v>99.1</v>
      </c>
      <c r="C607" s="218">
        <f t="shared" si="49"/>
        <v>0</v>
      </c>
      <c r="D607" s="219">
        <f>INDEX('Step 4 Stage Discharge'!E$26:F$126,MATCH(C607,'Step 4 Stage Discharge'!E$26:E$126,1),2)+(INDEX('Step 4 Stage Discharge'!E$26:F$126,MATCH(C607,'Step 4 Stage Discharge'!E$26:E$126,1)+1,2)-INDEX('Step 4 Stage Discharge'!E$26:F$126,MATCH(C607,'Step 4 Stage Discharge'!E$26:E$126,1),2))*(C607-INDEX('Step 4 Stage Discharge'!E$26:F$126,MATCH(C607,'Step 4 Stage Discharge'!E$26:E$126,1),1))/(INDEX('Step 4 Stage Discharge'!E$26:F$126,MATCH(C607,'Step 4 Stage Discharge'!E$26:E$126,1)+1,1)-INDEX('Step 4 Stage Discharge'!E$26:F$126,MATCH(C607,'Step 4 Stage Discharge'!E$26:E$126,1),1))</f>
        <v>0</v>
      </c>
      <c r="E607" s="219">
        <f>INDEX('Step 4 Stage Discharge'!E$26:M$126,MATCH(C607,'Step 4 Stage Discharge'!E$26:E$126,1),9)+(INDEX('Step 4 Stage Discharge'!E$26:M$126,MATCH('Step 6 Quality Check'!C607,'Step 4 Stage Discharge'!E$26:E$126,1)+1,9)-INDEX('Step 4 Stage Discharge'!E$26:M$126,MATCH('Step 6 Quality Check'!C607,'Step 4 Stage Discharge'!E$26:E$126,1),9))*('Step 6 Quality Check'!C607-INDEX('Step 4 Stage Discharge'!E$26:M$126,MATCH('Step 6 Quality Check'!C607,'Step 4 Stage Discharge'!E$26:E$126,1),1))/(INDEX('Step 4 Stage Discharge'!E$26:M$126,MATCH('Step 6 Quality Check'!C607,'Step 4 Stage Discharge'!E$26:E$126,1)+1,1)-INDEX('Step 4 Stage Discharge'!E$26:M$126,MATCH('Step 6 Quality Check'!C607,'Step 4 Stage Discharge'!E$26:E$126,1),1))</f>
        <v>4.3639431710317386E-3</v>
      </c>
      <c r="F607" s="218">
        <f t="shared" si="45"/>
        <v>0</v>
      </c>
      <c r="G607" s="218">
        <f t="shared" si="46"/>
        <v>0</v>
      </c>
    </row>
    <row r="608" spans="1:7">
      <c r="A608" s="217">
        <f t="shared" si="47"/>
        <v>2960</v>
      </c>
      <c r="B608" s="216">
        <f t="shared" si="48"/>
        <v>99.1</v>
      </c>
      <c r="C608" s="218">
        <f t="shared" si="49"/>
        <v>0</v>
      </c>
      <c r="D608" s="219">
        <f>INDEX('Step 4 Stage Discharge'!E$26:F$126,MATCH(C608,'Step 4 Stage Discharge'!E$26:E$126,1),2)+(INDEX('Step 4 Stage Discharge'!E$26:F$126,MATCH(C608,'Step 4 Stage Discharge'!E$26:E$126,1)+1,2)-INDEX('Step 4 Stage Discharge'!E$26:F$126,MATCH(C608,'Step 4 Stage Discharge'!E$26:E$126,1),2))*(C608-INDEX('Step 4 Stage Discharge'!E$26:F$126,MATCH(C608,'Step 4 Stage Discharge'!E$26:E$126,1),1))/(INDEX('Step 4 Stage Discharge'!E$26:F$126,MATCH(C608,'Step 4 Stage Discharge'!E$26:E$126,1)+1,1)-INDEX('Step 4 Stage Discharge'!E$26:F$126,MATCH(C608,'Step 4 Stage Discharge'!E$26:E$126,1),1))</f>
        <v>0</v>
      </c>
      <c r="E608" s="219">
        <f>INDEX('Step 4 Stage Discharge'!E$26:M$126,MATCH(C608,'Step 4 Stage Discharge'!E$26:E$126,1),9)+(INDEX('Step 4 Stage Discharge'!E$26:M$126,MATCH('Step 6 Quality Check'!C608,'Step 4 Stage Discharge'!E$26:E$126,1)+1,9)-INDEX('Step 4 Stage Discharge'!E$26:M$126,MATCH('Step 6 Quality Check'!C608,'Step 4 Stage Discharge'!E$26:E$126,1),9))*('Step 6 Quality Check'!C608-INDEX('Step 4 Stage Discharge'!E$26:M$126,MATCH('Step 6 Quality Check'!C608,'Step 4 Stage Discharge'!E$26:E$126,1),1))/(INDEX('Step 4 Stage Discharge'!E$26:M$126,MATCH('Step 6 Quality Check'!C608,'Step 4 Stage Discharge'!E$26:E$126,1)+1,1)-INDEX('Step 4 Stage Discharge'!E$26:M$126,MATCH('Step 6 Quality Check'!C608,'Step 4 Stage Discharge'!E$26:E$126,1),1))</f>
        <v>4.3639431710317386E-3</v>
      </c>
      <c r="F608" s="218">
        <f t="shared" si="45"/>
        <v>0</v>
      </c>
      <c r="G608" s="218">
        <f t="shared" si="46"/>
        <v>0</v>
      </c>
    </row>
    <row r="609" spans="1:7">
      <c r="A609" s="217">
        <f t="shared" si="47"/>
        <v>2965</v>
      </c>
      <c r="B609" s="216">
        <f t="shared" si="48"/>
        <v>99.1</v>
      </c>
      <c r="C609" s="218">
        <f t="shared" si="49"/>
        <v>0</v>
      </c>
      <c r="D609" s="219">
        <f>INDEX('Step 4 Stage Discharge'!E$26:F$126,MATCH(C609,'Step 4 Stage Discharge'!E$26:E$126,1),2)+(INDEX('Step 4 Stage Discharge'!E$26:F$126,MATCH(C609,'Step 4 Stage Discharge'!E$26:E$126,1)+1,2)-INDEX('Step 4 Stage Discharge'!E$26:F$126,MATCH(C609,'Step 4 Stage Discharge'!E$26:E$126,1),2))*(C609-INDEX('Step 4 Stage Discharge'!E$26:F$126,MATCH(C609,'Step 4 Stage Discharge'!E$26:E$126,1),1))/(INDEX('Step 4 Stage Discharge'!E$26:F$126,MATCH(C609,'Step 4 Stage Discharge'!E$26:E$126,1)+1,1)-INDEX('Step 4 Stage Discharge'!E$26:F$126,MATCH(C609,'Step 4 Stage Discharge'!E$26:E$126,1),1))</f>
        <v>0</v>
      </c>
      <c r="E609" s="219">
        <f>INDEX('Step 4 Stage Discharge'!E$26:M$126,MATCH(C609,'Step 4 Stage Discharge'!E$26:E$126,1),9)+(INDEX('Step 4 Stage Discharge'!E$26:M$126,MATCH('Step 6 Quality Check'!C609,'Step 4 Stage Discharge'!E$26:E$126,1)+1,9)-INDEX('Step 4 Stage Discharge'!E$26:M$126,MATCH('Step 6 Quality Check'!C609,'Step 4 Stage Discharge'!E$26:E$126,1),9))*('Step 6 Quality Check'!C609-INDEX('Step 4 Stage Discharge'!E$26:M$126,MATCH('Step 6 Quality Check'!C609,'Step 4 Stage Discharge'!E$26:E$126,1),1))/(INDEX('Step 4 Stage Discharge'!E$26:M$126,MATCH('Step 6 Quality Check'!C609,'Step 4 Stage Discharge'!E$26:E$126,1)+1,1)-INDEX('Step 4 Stage Discharge'!E$26:M$126,MATCH('Step 6 Quality Check'!C609,'Step 4 Stage Discharge'!E$26:E$126,1),1))</f>
        <v>4.3639431710317386E-3</v>
      </c>
      <c r="F609" s="218">
        <f t="shared" si="45"/>
        <v>0</v>
      </c>
      <c r="G609" s="218">
        <f t="shared" si="46"/>
        <v>0</v>
      </c>
    </row>
    <row r="610" spans="1:7">
      <c r="A610" s="217">
        <f t="shared" si="47"/>
        <v>2970</v>
      </c>
      <c r="B610" s="216">
        <f t="shared" si="48"/>
        <v>99.1</v>
      </c>
      <c r="C610" s="218">
        <f t="shared" si="49"/>
        <v>0</v>
      </c>
      <c r="D610" s="219">
        <f>INDEX('Step 4 Stage Discharge'!E$26:F$126,MATCH(C610,'Step 4 Stage Discharge'!E$26:E$126,1),2)+(INDEX('Step 4 Stage Discharge'!E$26:F$126,MATCH(C610,'Step 4 Stage Discharge'!E$26:E$126,1)+1,2)-INDEX('Step 4 Stage Discharge'!E$26:F$126,MATCH(C610,'Step 4 Stage Discharge'!E$26:E$126,1),2))*(C610-INDEX('Step 4 Stage Discharge'!E$26:F$126,MATCH(C610,'Step 4 Stage Discharge'!E$26:E$126,1),1))/(INDEX('Step 4 Stage Discharge'!E$26:F$126,MATCH(C610,'Step 4 Stage Discharge'!E$26:E$126,1)+1,1)-INDEX('Step 4 Stage Discharge'!E$26:F$126,MATCH(C610,'Step 4 Stage Discharge'!E$26:E$126,1),1))</f>
        <v>0</v>
      </c>
      <c r="E610" s="219">
        <f>INDEX('Step 4 Stage Discharge'!E$26:M$126,MATCH(C610,'Step 4 Stage Discharge'!E$26:E$126,1),9)+(INDEX('Step 4 Stage Discharge'!E$26:M$126,MATCH('Step 6 Quality Check'!C610,'Step 4 Stage Discharge'!E$26:E$126,1)+1,9)-INDEX('Step 4 Stage Discharge'!E$26:M$126,MATCH('Step 6 Quality Check'!C610,'Step 4 Stage Discharge'!E$26:E$126,1),9))*('Step 6 Quality Check'!C610-INDEX('Step 4 Stage Discharge'!E$26:M$126,MATCH('Step 6 Quality Check'!C610,'Step 4 Stage Discharge'!E$26:E$126,1),1))/(INDEX('Step 4 Stage Discharge'!E$26:M$126,MATCH('Step 6 Quality Check'!C610,'Step 4 Stage Discharge'!E$26:E$126,1)+1,1)-INDEX('Step 4 Stage Discharge'!E$26:M$126,MATCH('Step 6 Quality Check'!C610,'Step 4 Stage Discharge'!E$26:E$126,1),1))</f>
        <v>4.3639431710317386E-3</v>
      </c>
      <c r="F610" s="218">
        <f t="shared" si="45"/>
        <v>0</v>
      </c>
      <c r="G610" s="218">
        <f t="shared" si="46"/>
        <v>0</v>
      </c>
    </row>
    <row r="611" spans="1:7">
      <c r="A611" s="217">
        <f t="shared" si="47"/>
        <v>2975</v>
      </c>
      <c r="B611" s="216">
        <f t="shared" si="48"/>
        <v>99.1</v>
      </c>
      <c r="C611" s="218">
        <f t="shared" si="49"/>
        <v>0</v>
      </c>
      <c r="D611" s="219">
        <f>INDEX('Step 4 Stage Discharge'!E$26:F$126,MATCH(C611,'Step 4 Stage Discharge'!E$26:E$126,1),2)+(INDEX('Step 4 Stage Discharge'!E$26:F$126,MATCH(C611,'Step 4 Stage Discharge'!E$26:E$126,1)+1,2)-INDEX('Step 4 Stage Discharge'!E$26:F$126,MATCH(C611,'Step 4 Stage Discharge'!E$26:E$126,1),2))*(C611-INDEX('Step 4 Stage Discharge'!E$26:F$126,MATCH(C611,'Step 4 Stage Discharge'!E$26:E$126,1),1))/(INDEX('Step 4 Stage Discharge'!E$26:F$126,MATCH(C611,'Step 4 Stage Discharge'!E$26:E$126,1)+1,1)-INDEX('Step 4 Stage Discharge'!E$26:F$126,MATCH(C611,'Step 4 Stage Discharge'!E$26:E$126,1),1))</f>
        <v>0</v>
      </c>
      <c r="E611" s="219">
        <f>INDEX('Step 4 Stage Discharge'!E$26:M$126,MATCH(C611,'Step 4 Stage Discharge'!E$26:E$126,1),9)+(INDEX('Step 4 Stage Discharge'!E$26:M$126,MATCH('Step 6 Quality Check'!C611,'Step 4 Stage Discharge'!E$26:E$126,1)+1,9)-INDEX('Step 4 Stage Discharge'!E$26:M$126,MATCH('Step 6 Quality Check'!C611,'Step 4 Stage Discharge'!E$26:E$126,1),9))*('Step 6 Quality Check'!C611-INDEX('Step 4 Stage Discharge'!E$26:M$126,MATCH('Step 6 Quality Check'!C611,'Step 4 Stage Discharge'!E$26:E$126,1),1))/(INDEX('Step 4 Stage Discharge'!E$26:M$126,MATCH('Step 6 Quality Check'!C611,'Step 4 Stage Discharge'!E$26:E$126,1)+1,1)-INDEX('Step 4 Stage Discharge'!E$26:M$126,MATCH('Step 6 Quality Check'!C611,'Step 4 Stage Discharge'!E$26:E$126,1),1))</f>
        <v>4.3639431710317386E-3</v>
      </c>
      <c r="F611" s="218">
        <f t="shared" si="45"/>
        <v>0</v>
      </c>
      <c r="G611" s="218">
        <f t="shared" si="46"/>
        <v>0</v>
      </c>
    </row>
    <row r="612" spans="1:7">
      <c r="A612" s="217">
        <f t="shared" si="47"/>
        <v>2980</v>
      </c>
      <c r="B612" s="216">
        <f t="shared" si="48"/>
        <v>99.1</v>
      </c>
      <c r="C612" s="218">
        <f t="shared" si="49"/>
        <v>0</v>
      </c>
      <c r="D612" s="219">
        <f>INDEX('Step 4 Stage Discharge'!E$26:F$126,MATCH(C612,'Step 4 Stage Discharge'!E$26:E$126,1),2)+(INDEX('Step 4 Stage Discharge'!E$26:F$126,MATCH(C612,'Step 4 Stage Discharge'!E$26:E$126,1)+1,2)-INDEX('Step 4 Stage Discharge'!E$26:F$126,MATCH(C612,'Step 4 Stage Discharge'!E$26:E$126,1),2))*(C612-INDEX('Step 4 Stage Discharge'!E$26:F$126,MATCH(C612,'Step 4 Stage Discharge'!E$26:E$126,1),1))/(INDEX('Step 4 Stage Discharge'!E$26:F$126,MATCH(C612,'Step 4 Stage Discharge'!E$26:E$126,1)+1,1)-INDEX('Step 4 Stage Discharge'!E$26:F$126,MATCH(C612,'Step 4 Stage Discharge'!E$26:E$126,1),1))</f>
        <v>0</v>
      </c>
      <c r="E612" s="219">
        <f>INDEX('Step 4 Stage Discharge'!E$26:M$126,MATCH(C612,'Step 4 Stage Discharge'!E$26:E$126,1),9)+(INDEX('Step 4 Stage Discharge'!E$26:M$126,MATCH('Step 6 Quality Check'!C612,'Step 4 Stage Discharge'!E$26:E$126,1)+1,9)-INDEX('Step 4 Stage Discharge'!E$26:M$126,MATCH('Step 6 Quality Check'!C612,'Step 4 Stage Discharge'!E$26:E$126,1),9))*('Step 6 Quality Check'!C612-INDEX('Step 4 Stage Discharge'!E$26:M$126,MATCH('Step 6 Quality Check'!C612,'Step 4 Stage Discharge'!E$26:E$126,1),1))/(INDEX('Step 4 Stage Discharge'!E$26:M$126,MATCH('Step 6 Quality Check'!C612,'Step 4 Stage Discharge'!E$26:E$126,1)+1,1)-INDEX('Step 4 Stage Discharge'!E$26:M$126,MATCH('Step 6 Quality Check'!C612,'Step 4 Stage Discharge'!E$26:E$126,1),1))</f>
        <v>4.3639431710317386E-3</v>
      </c>
      <c r="F612" s="218">
        <f t="shared" si="45"/>
        <v>0</v>
      </c>
      <c r="G612" s="218">
        <f t="shared" si="46"/>
        <v>0</v>
      </c>
    </row>
    <row r="613" spans="1:7">
      <c r="A613" s="217">
        <f t="shared" si="47"/>
        <v>2985</v>
      </c>
      <c r="B613" s="216">
        <f t="shared" si="48"/>
        <v>99.1</v>
      </c>
      <c r="C613" s="218">
        <f t="shared" si="49"/>
        <v>0</v>
      </c>
      <c r="D613" s="219">
        <f>INDEX('Step 4 Stage Discharge'!E$26:F$126,MATCH(C613,'Step 4 Stage Discharge'!E$26:E$126,1),2)+(INDEX('Step 4 Stage Discharge'!E$26:F$126,MATCH(C613,'Step 4 Stage Discharge'!E$26:E$126,1)+1,2)-INDEX('Step 4 Stage Discharge'!E$26:F$126,MATCH(C613,'Step 4 Stage Discharge'!E$26:E$126,1),2))*(C613-INDEX('Step 4 Stage Discharge'!E$26:F$126,MATCH(C613,'Step 4 Stage Discharge'!E$26:E$126,1),1))/(INDEX('Step 4 Stage Discharge'!E$26:F$126,MATCH(C613,'Step 4 Stage Discharge'!E$26:E$126,1)+1,1)-INDEX('Step 4 Stage Discharge'!E$26:F$126,MATCH(C613,'Step 4 Stage Discharge'!E$26:E$126,1),1))</f>
        <v>0</v>
      </c>
      <c r="E613" s="219">
        <f>INDEX('Step 4 Stage Discharge'!E$26:M$126,MATCH(C613,'Step 4 Stage Discharge'!E$26:E$126,1),9)+(INDEX('Step 4 Stage Discharge'!E$26:M$126,MATCH('Step 6 Quality Check'!C613,'Step 4 Stage Discharge'!E$26:E$126,1)+1,9)-INDEX('Step 4 Stage Discharge'!E$26:M$126,MATCH('Step 6 Quality Check'!C613,'Step 4 Stage Discharge'!E$26:E$126,1),9))*('Step 6 Quality Check'!C613-INDEX('Step 4 Stage Discharge'!E$26:M$126,MATCH('Step 6 Quality Check'!C613,'Step 4 Stage Discharge'!E$26:E$126,1),1))/(INDEX('Step 4 Stage Discharge'!E$26:M$126,MATCH('Step 6 Quality Check'!C613,'Step 4 Stage Discharge'!E$26:E$126,1)+1,1)-INDEX('Step 4 Stage Discharge'!E$26:M$126,MATCH('Step 6 Quality Check'!C613,'Step 4 Stage Discharge'!E$26:E$126,1),1))</f>
        <v>4.3639431710317386E-3</v>
      </c>
      <c r="F613" s="218">
        <f t="shared" si="45"/>
        <v>0</v>
      </c>
      <c r="G613" s="218">
        <f t="shared" si="46"/>
        <v>0</v>
      </c>
    </row>
    <row r="614" spans="1:7">
      <c r="A614" s="217">
        <f t="shared" si="47"/>
        <v>2990</v>
      </c>
      <c r="B614" s="216">
        <f t="shared" si="48"/>
        <v>99.1</v>
      </c>
      <c r="C614" s="218">
        <f t="shared" si="49"/>
        <v>0</v>
      </c>
      <c r="D614" s="219">
        <f>INDEX('Step 4 Stage Discharge'!E$26:F$126,MATCH(C614,'Step 4 Stage Discharge'!E$26:E$126,1),2)+(INDEX('Step 4 Stage Discharge'!E$26:F$126,MATCH(C614,'Step 4 Stage Discharge'!E$26:E$126,1)+1,2)-INDEX('Step 4 Stage Discharge'!E$26:F$126,MATCH(C614,'Step 4 Stage Discharge'!E$26:E$126,1),2))*(C614-INDEX('Step 4 Stage Discharge'!E$26:F$126,MATCH(C614,'Step 4 Stage Discharge'!E$26:E$126,1),1))/(INDEX('Step 4 Stage Discharge'!E$26:F$126,MATCH(C614,'Step 4 Stage Discharge'!E$26:E$126,1)+1,1)-INDEX('Step 4 Stage Discharge'!E$26:F$126,MATCH(C614,'Step 4 Stage Discharge'!E$26:E$126,1),1))</f>
        <v>0</v>
      </c>
      <c r="E614" s="219">
        <f>INDEX('Step 4 Stage Discharge'!E$26:M$126,MATCH(C614,'Step 4 Stage Discharge'!E$26:E$126,1),9)+(INDEX('Step 4 Stage Discharge'!E$26:M$126,MATCH('Step 6 Quality Check'!C614,'Step 4 Stage Discharge'!E$26:E$126,1)+1,9)-INDEX('Step 4 Stage Discharge'!E$26:M$126,MATCH('Step 6 Quality Check'!C614,'Step 4 Stage Discharge'!E$26:E$126,1),9))*('Step 6 Quality Check'!C614-INDEX('Step 4 Stage Discharge'!E$26:M$126,MATCH('Step 6 Quality Check'!C614,'Step 4 Stage Discharge'!E$26:E$126,1),1))/(INDEX('Step 4 Stage Discharge'!E$26:M$126,MATCH('Step 6 Quality Check'!C614,'Step 4 Stage Discharge'!E$26:E$126,1)+1,1)-INDEX('Step 4 Stage Discharge'!E$26:M$126,MATCH('Step 6 Quality Check'!C614,'Step 4 Stage Discharge'!E$26:E$126,1),1))</f>
        <v>4.3639431710317386E-3</v>
      </c>
      <c r="F614" s="218">
        <f t="shared" si="45"/>
        <v>0</v>
      </c>
      <c r="G614" s="218">
        <f t="shared" si="46"/>
        <v>0</v>
      </c>
    </row>
    <row r="615" spans="1:7">
      <c r="A615" s="217">
        <f t="shared" si="47"/>
        <v>2995</v>
      </c>
      <c r="B615" s="216">
        <f t="shared" si="48"/>
        <v>99.1</v>
      </c>
      <c r="C615" s="218">
        <f t="shared" si="49"/>
        <v>0</v>
      </c>
      <c r="D615" s="219">
        <f>INDEX('Step 4 Stage Discharge'!E$26:F$126,MATCH(C615,'Step 4 Stage Discharge'!E$26:E$126,1),2)+(INDEX('Step 4 Stage Discharge'!E$26:F$126,MATCH(C615,'Step 4 Stage Discharge'!E$26:E$126,1)+1,2)-INDEX('Step 4 Stage Discharge'!E$26:F$126,MATCH(C615,'Step 4 Stage Discharge'!E$26:E$126,1),2))*(C615-INDEX('Step 4 Stage Discharge'!E$26:F$126,MATCH(C615,'Step 4 Stage Discharge'!E$26:E$126,1),1))/(INDEX('Step 4 Stage Discharge'!E$26:F$126,MATCH(C615,'Step 4 Stage Discharge'!E$26:E$126,1)+1,1)-INDEX('Step 4 Stage Discharge'!E$26:F$126,MATCH(C615,'Step 4 Stage Discharge'!E$26:E$126,1),1))</f>
        <v>0</v>
      </c>
      <c r="E615" s="219">
        <f>INDEX('Step 4 Stage Discharge'!E$26:M$126,MATCH(C615,'Step 4 Stage Discharge'!E$26:E$126,1),9)+(INDEX('Step 4 Stage Discharge'!E$26:M$126,MATCH('Step 6 Quality Check'!C615,'Step 4 Stage Discharge'!E$26:E$126,1)+1,9)-INDEX('Step 4 Stage Discharge'!E$26:M$126,MATCH('Step 6 Quality Check'!C615,'Step 4 Stage Discharge'!E$26:E$126,1),9))*('Step 6 Quality Check'!C615-INDEX('Step 4 Stage Discharge'!E$26:M$126,MATCH('Step 6 Quality Check'!C615,'Step 4 Stage Discharge'!E$26:E$126,1),1))/(INDEX('Step 4 Stage Discharge'!E$26:M$126,MATCH('Step 6 Quality Check'!C615,'Step 4 Stage Discharge'!E$26:E$126,1)+1,1)-INDEX('Step 4 Stage Discharge'!E$26:M$126,MATCH('Step 6 Quality Check'!C615,'Step 4 Stage Discharge'!E$26:E$126,1),1))</f>
        <v>4.3639431710317386E-3</v>
      </c>
      <c r="F615" s="218">
        <f t="shared" si="45"/>
        <v>0</v>
      </c>
      <c r="G615" s="218">
        <f t="shared" si="46"/>
        <v>0</v>
      </c>
    </row>
    <row r="616" spans="1:7">
      <c r="A616" s="217">
        <f t="shared" si="47"/>
        <v>3000</v>
      </c>
      <c r="B616" s="216">
        <f t="shared" si="48"/>
        <v>99.1</v>
      </c>
      <c r="C616" s="218">
        <f t="shared" si="49"/>
        <v>0</v>
      </c>
      <c r="D616" s="219">
        <f>INDEX('Step 4 Stage Discharge'!E$26:F$126,MATCH(C616,'Step 4 Stage Discharge'!E$26:E$126,1),2)+(INDEX('Step 4 Stage Discharge'!E$26:F$126,MATCH(C616,'Step 4 Stage Discharge'!E$26:E$126,1)+1,2)-INDEX('Step 4 Stage Discharge'!E$26:F$126,MATCH(C616,'Step 4 Stage Discharge'!E$26:E$126,1),2))*(C616-INDEX('Step 4 Stage Discharge'!E$26:F$126,MATCH(C616,'Step 4 Stage Discharge'!E$26:E$126,1),1))/(INDEX('Step 4 Stage Discharge'!E$26:F$126,MATCH(C616,'Step 4 Stage Discharge'!E$26:E$126,1)+1,1)-INDEX('Step 4 Stage Discharge'!E$26:F$126,MATCH(C616,'Step 4 Stage Discharge'!E$26:E$126,1),1))</f>
        <v>0</v>
      </c>
      <c r="E616" s="219">
        <f>INDEX('Step 4 Stage Discharge'!E$26:M$126,MATCH(C616,'Step 4 Stage Discharge'!E$26:E$126,1),9)+(INDEX('Step 4 Stage Discharge'!E$26:M$126,MATCH('Step 6 Quality Check'!C616,'Step 4 Stage Discharge'!E$26:E$126,1)+1,9)-INDEX('Step 4 Stage Discharge'!E$26:M$126,MATCH('Step 6 Quality Check'!C616,'Step 4 Stage Discharge'!E$26:E$126,1),9))*('Step 6 Quality Check'!C616-INDEX('Step 4 Stage Discharge'!E$26:M$126,MATCH('Step 6 Quality Check'!C616,'Step 4 Stage Discharge'!E$26:E$126,1),1))/(INDEX('Step 4 Stage Discharge'!E$26:M$126,MATCH('Step 6 Quality Check'!C616,'Step 4 Stage Discharge'!E$26:E$126,1)+1,1)-INDEX('Step 4 Stage Discharge'!E$26:M$126,MATCH('Step 6 Quality Check'!C616,'Step 4 Stage Discharge'!E$26:E$126,1),1))</f>
        <v>4.3639431710317386E-3</v>
      </c>
      <c r="F616" s="218">
        <f t="shared" si="45"/>
        <v>0</v>
      </c>
      <c r="G616" s="218">
        <f t="shared" si="46"/>
        <v>0</v>
      </c>
    </row>
    <row r="617" spans="1:7">
      <c r="A617" s="217">
        <f t="shared" si="47"/>
        <v>3005</v>
      </c>
      <c r="B617" s="216">
        <f t="shared" si="48"/>
        <v>99.1</v>
      </c>
      <c r="C617" s="218">
        <f t="shared" si="49"/>
        <v>0</v>
      </c>
      <c r="D617" s="219">
        <f>INDEX('Step 4 Stage Discharge'!E$26:F$126,MATCH(C617,'Step 4 Stage Discharge'!E$26:E$126,1),2)+(INDEX('Step 4 Stage Discharge'!E$26:F$126,MATCH(C617,'Step 4 Stage Discharge'!E$26:E$126,1)+1,2)-INDEX('Step 4 Stage Discharge'!E$26:F$126,MATCH(C617,'Step 4 Stage Discharge'!E$26:E$126,1),2))*(C617-INDEX('Step 4 Stage Discharge'!E$26:F$126,MATCH(C617,'Step 4 Stage Discharge'!E$26:E$126,1),1))/(INDEX('Step 4 Stage Discharge'!E$26:F$126,MATCH(C617,'Step 4 Stage Discharge'!E$26:E$126,1)+1,1)-INDEX('Step 4 Stage Discharge'!E$26:F$126,MATCH(C617,'Step 4 Stage Discharge'!E$26:E$126,1),1))</f>
        <v>0</v>
      </c>
      <c r="E617" s="219">
        <f>INDEX('Step 4 Stage Discharge'!E$26:M$126,MATCH(C617,'Step 4 Stage Discharge'!E$26:E$126,1),9)+(INDEX('Step 4 Stage Discharge'!E$26:M$126,MATCH('Step 6 Quality Check'!C617,'Step 4 Stage Discharge'!E$26:E$126,1)+1,9)-INDEX('Step 4 Stage Discharge'!E$26:M$126,MATCH('Step 6 Quality Check'!C617,'Step 4 Stage Discharge'!E$26:E$126,1),9))*('Step 6 Quality Check'!C617-INDEX('Step 4 Stage Discharge'!E$26:M$126,MATCH('Step 6 Quality Check'!C617,'Step 4 Stage Discharge'!E$26:E$126,1),1))/(INDEX('Step 4 Stage Discharge'!E$26:M$126,MATCH('Step 6 Quality Check'!C617,'Step 4 Stage Discharge'!E$26:E$126,1)+1,1)-INDEX('Step 4 Stage Discharge'!E$26:M$126,MATCH('Step 6 Quality Check'!C617,'Step 4 Stage Discharge'!E$26:E$126,1),1))</f>
        <v>4.3639431710317386E-3</v>
      </c>
      <c r="F617" s="218">
        <f t="shared" si="45"/>
        <v>0</v>
      </c>
      <c r="G617" s="218">
        <f t="shared" si="46"/>
        <v>0</v>
      </c>
    </row>
    <row r="618" spans="1:7">
      <c r="A618" s="217">
        <f t="shared" si="47"/>
        <v>3010</v>
      </c>
      <c r="B618" s="216">
        <f t="shared" si="48"/>
        <v>99.1</v>
      </c>
      <c r="C618" s="218">
        <f t="shared" si="49"/>
        <v>0</v>
      </c>
      <c r="D618" s="219">
        <f>INDEX('Step 4 Stage Discharge'!E$26:F$126,MATCH(C618,'Step 4 Stage Discharge'!E$26:E$126,1),2)+(INDEX('Step 4 Stage Discharge'!E$26:F$126,MATCH(C618,'Step 4 Stage Discharge'!E$26:E$126,1)+1,2)-INDEX('Step 4 Stage Discharge'!E$26:F$126,MATCH(C618,'Step 4 Stage Discharge'!E$26:E$126,1),2))*(C618-INDEX('Step 4 Stage Discharge'!E$26:F$126,MATCH(C618,'Step 4 Stage Discharge'!E$26:E$126,1),1))/(INDEX('Step 4 Stage Discharge'!E$26:F$126,MATCH(C618,'Step 4 Stage Discharge'!E$26:E$126,1)+1,1)-INDEX('Step 4 Stage Discharge'!E$26:F$126,MATCH(C618,'Step 4 Stage Discharge'!E$26:E$126,1),1))</f>
        <v>0</v>
      </c>
      <c r="E618" s="219">
        <f>INDEX('Step 4 Stage Discharge'!E$26:M$126,MATCH(C618,'Step 4 Stage Discharge'!E$26:E$126,1),9)+(INDEX('Step 4 Stage Discharge'!E$26:M$126,MATCH('Step 6 Quality Check'!C618,'Step 4 Stage Discharge'!E$26:E$126,1)+1,9)-INDEX('Step 4 Stage Discharge'!E$26:M$126,MATCH('Step 6 Quality Check'!C618,'Step 4 Stage Discharge'!E$26:E$126,1),9))*('Step 6 Quality Check'!C618-INDEX('Step 4 Stage Discharge'!E$26:M$126,MATCH('Step 6 Quality Check'!C618,'Step 4 Stage Discharge'!E$26:E$126,1),1))/(INDEX('Step 4 Stage Discharge'!E$26:M$126,MATCH('Step 6 Quality Check'!C618,'Step 4 Stage Discharge'!E$26:E$126,1)+1,1)-INDEX('Step 4 Stage Discharge'!E$26:M$126,MATCH('Step 6 Quality Check'!C618,'Step 4 Stage Discharge'!E$26:E$126,1),1))</f>
        <v>4.3639431710317386E-3</v>
      </c>
      <c r="F618" s="218">
        <f t="shared" si="45"/>
        <v>0</v>
      </c>
      <c r="G618" s="218">
        <f t="shared" si="46"/>
        <v>0</v>
      </c>
    </row>
    <row r="619" spans="1:7">
      <c r="A619" s="217">
        <f t="shared" si="47"/>
        <v>3015</v>
      </c>
      <c r="B619" s="216">
        <f t="shared" si="48"/>
        <v>99.1</v>
      </c>
      <c r="C619" s="218">
        <f t="shared" si="49"/>
        <v>0</v>
      </c>
      <c r="D619" s="219">
        <f>INDEX('Step 4 Stage Discharge'!E$26:F$126,MATCH(C619,'Step 4 Stage Discharge'!E$26:E$126,1),2)+(INDEX('Step 4 Stage Discharge'!E$26:F$126,MATCH(C619,'Step 4 Stage Discharge'!E$26:E$126,1)+1,2)-INDEX('Step 4 Stage Discharge'!E$26:F$126,MATCH(C619,'Step 4 Stage Discharge'!E$26:E$126,1),2))*(C619-INDEX('Step 4 Stage Discharge'!E$26:F$126,MATCH(C619,'Step 4 Stage Discharge'!E$26:E$126,1),1))/(INDEX('Step 4 Stage Discharge'!E$26:F$126,MATCH(C619,'Step 4 Stage Discharge'!E$26:E$126,1)+1,1)-INDEX('Step 4 Stage Discharge'!E$26:F$126,MATCH(C619,'Step 4 Stage Discharge'!E$26:E$126,1),1))</f>
        <v>0</v>
      </c>
      <c r="E619" s="219">
        <f>INDEX('Step 4 Stage Discharge'!E$26:M$126,MATCH(C619,'Step 4 Stage Discharge'!E$26:E$126,1),9)+(INDEX('Step 4 Stage Discharge'!E$26:M$126,MATCH('Step 6 Quality Check'!C619,'Step 4 Stage Discharge'!E$26:E$126,1)+1,9)-INDEX('Step 4 Stage Discharge'!E$26:M$126,MATCH('Step 6 Quality Check'!C619,'Step 4 Stage Discharge'!E$26:E$126,1),9))*('Step 6 Quality Check'!C619-INDEX('Step 4 Stage Discharge'!E$26:M$126,MATCH('Step 6 Quality Check'!C619,'Step 4 Stage Discharge'!E$26:E$126,1),1))/(INDEX('Step 4 Stage Discharge'!E$26:M$126,MATCH('Step 6 Quality Check'!C619,'Step 4 Stage Discharge'!E$26:E$126,1)+1,1)-INDEX('Step 4 Stage Discharge'!E$26:M$126,MATCH('Step 6 Quality Check'!C619,'Step 4 Stage Discharge'!E$26:E$126,1),1))</f>
        <v>4.3639431710317386E-3</v>
      </c>
      <c r="F619" s="218">
        <f t="shared" si="45"/>
        <v>0</v>
      </c>
      <c r="G619" s="218">
        <f t="shared" si="46"/>
        <v>0</v>
      </c>
    </row>
    <row r="620" spans="1:7">
      <c r="A620" s="217">
        <f t="shared" si="47"/>
        <v>3020</v>
      </c>
      <c r="B620" s="216">
        <f t="shared" si="48"/>
        <v>99.1</v>
      </c>
      <c r="C620" s="218">
        <f t="shared" si="49"/>
        <v>0</v>
      </c>
      <c r="D620" s="219">
        <f>INDEX('Step 4 Stage Discharge'!E$26:F$126,MATCH(C620,'Step 4 Stage Discharge'!E$26:E$126,1),2)+(INDEX('Step 4 Stage Discharge'!E$26:F$126,MATCH(C620,'Step 4 Stage Discharge'!E$26:E$126,1)+1,2)-INDEX('Step 4 Stage Discharge'!E$26:F$126,MATCH(C620,'Step 4 Stage Discharge'!E$26:E$126,1),2))*(C620-INDEX('Step 4 Stage Discharge'!E$26:F$126,MATCH(C620,'Step 4 Stage Discharge'!E$26:E$126,1),1))/(INDEX('Step 4 Stage Discharge'!E$26:F$126,MATCH(C620,'Step 4 Stage Discharge'!E$26:E$126,1)+1,1)-INDEX('Step 4 Stage Discharge'!E$26:F$126,MATCH(C620,'Step 4 Stage Discharge'!E$26:E$126,1),1))</f>
        <v>0</v>
      </c>
      <c r="E620" s="219">
        <f>INDEX('Step 4 Stage Discharge'!E$26:M$126,MATCH(C620,'Step 4 Stage Discharge'!E$26:E$126,1),9)+(INDEX('Step 4 Stage Discharge'!E$26:M$126,MATCH('Step 6 Quality Check'!C620,'Step 4 Stage Discharge'!E$26:E$126,1)+1,9)-INDEX('Step 4 Stage Discharge'!E$26:M$126,MATCH('Step 6 Quality Check'!C620,'Step 4 Stage Discharge'!E$26:E$126,1),9))*('Step 6 Quality Check'!C620-INDEX('Step 4 Stage Discharge'!E$26:M$126,MATCH('Step 6 Quality Check'!C620,'Step 4 Stage Discharge'!E$26:E$126,1),1))/(INDEX('Step 4 Stage Discharge'!E$26:M$126,MATCH('Step 6 Quality Check'!C620,'Step 4 Stage Discharge'!E$26:E$126,1)+1,1)-INDEX('Step 4 Stage Discharge'!E$26:M$126,MATCH('Step 6 Quality Check'!C620,'Step 4 Stage Discharge'!E$26:E$126,1),1))</f>
        <v>4.3639431710317386E-3</v>
      </c>
      <c r="F620" s="218">
        <f t="shared" si="45"/>
        <v>0</v>
      </c>
      <c r="G620" s="218">
        <f t="shared" si="46"/>
        <v>0</v>
      </c>
    </row>
    <row r="621" spans="1:7">
      <c r="A621" s="217">
        <f t="shared" si="47"/>
        <v>3025</v>
      </c>
      <c r="B621" s="216">
        <f t="shared" si="48"/>
        <v>99.1</v>
      </c>
      <c r="C621" s="218">
        <f t="shared" si="49"/>
        <v>0</v>
      </c>
      <c r="D621" s="219">
        <f>INDEX('Step 4 Stage Discharge'!E$26:F$126,MATCH(C621,'Step 4 Stage Discharge'!E$26:E$126,1),2)+(INDEX('Step 4 Stage Discharge'!E$26:F$126,MATCH(C621,'Step 4 Stage Discharge'!E$26:E$126,1)+1,2)-INDEX('Step 4 Stage Discharge'!E$26:F$126,MATCH(C621,'Step 4 Stage Discharge'!E$26:E$126,1),2))*(C621-INDEX('Step 4 Stage Discharge'!E$26:F$126,MATCH(C621,'Step 4 Stage Discharge'!E$26:E$126,1),1))/(INDEX('Step 4 Stage Discharge'!E$26:F$126,MATCH(C621,'Step 4 Stage Discharge'!E$26:E$126,1)+1,1)-INDEX('Step 4 Stage Discharge'!E$26:F$126,MATCH(C621,'Step 4 Stage Discharge'!E$26:E$126,1),1))</f>
        <v>0</v>
      </c>
      <c r="E621" s="219">
        <f>INDEX('Step 4 Stage Discharge'!E$26:M$126,MATCH(C621,'Step 4 Stage Discharge'!E$26:E$126,1),9)+(INDEX('Step 4 Stage Discharge'!E$26:M$126,MATCH('Step 6 Quality Check'!C621,'Step 4 Stage Discharge'!E$26:E$126,1)+1,9)-INDEX('Step 4 Stage Discharge'!E$26:M$126,MATCH('Step 6 Quality Check'!C621,'Step 4 Stage Discharge'!E$26:E$126,1),9))*('Step 6 Quality Check'!C621-INDEX('Step 4 Stage Discharge'!E$26:M$126,MATCH('Step 6 Quality Check'!C621,'Step 4 Stage Discharge'!E$26:E$126,1),1))/(INDEX('Step 4 Stage Discharge'!E$26:M$126,MATCH('Step 6 Quality Check'!C621,'Step 4 Stage Discharge'!E$26:E$126,1)+1,1)-INDEX('Step 4 Stage Discharge'!E$26:M$126,MATCH('Step 6 Quality Check'!C621,'Step 4 Stage Discharge'!E$26:E$126,1),1))</f>
        <v>4.3639431710317386E-3</v>
      </c>
      <c r="F621" s="218">
        <f t="shared" si="45"/>
        <v>0</v>
      </c>
      <c r="G621" s="218">
        <f t="shared" si="46"/>
        <v>0</v>
      </c>
    </row>
    <row r="622" spans="1:7">
      <c r="A622" s="217">
        <f t="shared" si="47"/>
        <v>3030</v>
      </c>
      <c r="B622" s="216">
        <f t="shared" si="48"/>
        <v>99.1</v>
      </c>
      <c r="C622" s="218">
        <f t="shared" si="49"/>
        <v>0</v>
      </c>
      <c r="D622" s="219">
        <f>INDEX('Step 4 Stage Discharge'!E$26:F$126,MATCH(C622,'Step 4 Stage Discharge'!E$26:E$126,1),2)+(INDEX('Step 4 Stage Discharge'!E$26:F$126,MATCH(C622,'Step 4 Stage Discharge'!E$26:E$126,1)+1,2)-INDEX('Step 4 Stage Discharge'!E$26:F$126,MATCH(C622,'Step 4 Stage Discharge'!E$26:E$126,1),2))*(C622-INDEX('Step 4 Stage Discharge'!E$26:F$126,MATCH(C622,'Step 4 Stage Discharge'!E$26:E$126,1),1))/(INDEX('Step 4 Stage Discharge'!E$26:F$126,MATCH(C622,'Step 4 Stage Discharge'!E$26:E$126,1)+1,1)-INDEX('Step 4 Stage Discharge'!E$26:F$126,MATCH(C622,'Step 4 Stage Discharge'!E$26:E$126,1),1))</f>
        <v>0</v>
      </c>
      <c r="E622" s="219">
        <f>INDEX('Step 4 Stage Discharge'!E$26:M$126,MATCH(C622,'Step 4 Stage Discharge'!E$26:E$126,1),9)+(INDEX('Step 4 Stage Discharge'!E$26:M$126,MATCH('Step 6 Quality Check'!C622,'Step 4 Stage Discharge'!E$26:E$126,1)+1,9)-INDEX('Step 4 Stage Discharge'!E$26:M$126,MATCH('Step 6 Quality Check'!C622,'Step 4 Stage Discharge'!E$26:E$126,1),9))*('Step 6 Quality Check'!C622-INDEX('Step 4 Stage Discharge'!E$26:M$126,MATCH('Step 6 Quality Check'!C622,'Step 4 Stage Discharge'!E$26:E$126,1),1))/(INDEX('Step 4 Stage Discharge'!E$26:M$126,MATCH('Step 6 Quality Check'!C622,'Step 4 Stage Discharge'!E$26:E$126,1)+1,1)-INDEX('Step 4 Stage Discharge'!E$26:M$126,MATCH('Step 6 Quality Check'!C622,'Step 4 Stage Discharge'!E$26:E$126,1),1))</f>
        <v>4.3639431710317386E-3</v>
      </c>
      <c r="F622" s="218">
        <f t="shared" si="45"/>
        <v>0</v>
      </c>
      <c r="G622" s="218">
        <f t="shared" si="46"/>
        <v>0</v>
      </c>
    </row>
    <row r="623" spans="1:7">
      <c r="A623" s="217">
        <f t="shared" si="47"/>
        <v>3035</v>
      </c>
      <c r="B623" s="216">
        <f t="shared" si="48"/>
        <v>99.1</v>
      </c>
      <c r="C623" s="218">
        <f t="shared" si="49"/>
        <v>0</v>
      </c>
      <c r="D623" s="219">
        <f>INDEX('Step 4 Stage Discharge'!E$26:F$126,MATCH(C623,'Step 4 Stage Discharge'!E$26:E$126,1),2)+(INDEX('Step 4 Stage Discharge'!E$26:F$126,MATCH(C623,'Step 4 Stage Discharge'!E$26:E$126,1)+1,2)-INDEX('Step 4 Stage Discharge'!E$26:F$126,MATCH(C623,'Step 4 Stage Discharge'!E$26:E$126,1),2))*(C623-INDEX('Step 4 Stage Discharge'!E$26:F$126,MATCH(C623,'Step 4 Stage Discharge'!E$26:E$126,1),1))/(INDEX('Step 4 Stage Discharge'!E$26:F$126,MATCH(C623,'Step 4 Stage Discharge'!E$26:E$126,1)+1,1)-INDEX('Step 4 Stage Discharge'!E$26:F$126,MATCH(C623,'Step 4 Stage Discharge'!E$26:E$126,1),1))</f>
        <v>0</v>
      </c>
      <c r="E623" s="219">
        <f>INDEX('Step 4 Stage Discharge'!E$26:M$126,MATCH(C623,'Step 4 Stage Discharge'!E$26:E$126,1),9)+(INDEX('Step 4 Stage Discharge'!E$26:M$126,MATCH('Step 6 Quality Check'!C623,'Step 4 Stage Discharge'!E$26:E$126,1)+1,9)-INDEX('Step 4 Stage Discharge'!E$26:M$126,MATCH('Step 6 Quality Check'!C623,'Step 4 Stage Discharge'!E$26:E$126,1),9))*('Step 6 Quality Check'!C623-INDEX('Step 4 Stage Discharge'!E$26:M$126,MATCH('Step 6 Quality Check'!C623,'Step 4 Stage Discharge'!E$26:E$126,1),1))/(INDEX('Step 4 Stage Discharge'!E$26:M$126,MATCH('Step 6 Quality Check'!C623,'Step 4 Stage Discharge'!E$26:E$126,1)+1,1)-INDEX('Step 4 Stage Discharge'!E$26:M$126,MATCH('Step 6 Quality Check'!C623,'Step 4 Stage Discharge'!E$26:E$126,1),1))</f>
        <v>4.3639431710317386E-3</v>
      </c>
      <c r="F623" s="218">
        <f t="shared" si="45"/>
        <v>0</v>
      </c>
      <c r="G623" s="218">
        <f t="shared" si="46"/>
        <v>0</v>
      </c>
    </row>
    <row r="624" spans="1:7">
      <c r="A624" s="217">
        <f t="shared" si="47"/>
        <v>3040</v>
      </c>
      <c r="B624" s="216">
        <f t="shared" si="48"/>
        <v>99.1</v>
      </c>
      <c r="C624" s="218">
        <f t="shared" si="49"/>
        <v>0</v>
      </c>
      <c r="D624" s="219">
        <f>INDEX('Step 4 Stage Discharge'!E$26:F$126,MATCH(C624,'Step 4 Stage Discharge'!E$26:E$126,1),2)+(INDEX('Step 4 Stage Discharge'!E$26:F$126,MATCH(C624,'Step 4 Stage Discharge'!E$26:E$126,1)+1,2)-INDEX('Step 4 Stage Discharge'!E$26:F$126,MATCH(C624,'Step 4 Stage Discharge'!E$26:E$126,1),2))*(C624-INDEX('Step 4 Stage Discharge'!E$26:F$126,MATCH(C624,'Step 4 Stage Discharge'!E$26:E$126,1),1))/(INDEX('Step 4 Stage Discharge'!E$26:F$126,MATCH(C624,'Step 4 Stage Discharge'!E$26:E$126,1)+1,1)-INDEX('Step 4 Stage Discharge'!E$26:F$126,MATCH(C624,'Step 4 Stage Discharge'!E$26:E$126,1),1))</f>
        <v>0</v>
      </c>
      <c r="E624" s="219">
        <f>INDEX('Step 4 Stage Discharge'!E$26:M$126,MATCH(C624,'Step 4 Stage Discharge'!E$26:E$126,1),9)+(INDEX('Step 4 Stage Discharge'!E$26:M$126,MATCH('Step 6 Quality Check'!C624,'Step 4 Stage Discharge'!E$26:E$126,1)+1,9)-INDEX('Step 4 Stage Discharge'!E$26:M$126,MATCH('Step 6 Quality Check'!C624,'Step 4 Stage Discharge'!E$26:E$126,1),9))*('Step 6 Quality Check'!C624-INDEX('Step 4 Stage Discharge'!E$26:M$126,MATCH('Step 6 Quality Check'!C624,'Step 4 Stage Discharge'!E$26:E$126,1),1))/(INDEX('Step 4 Stage Discharge'!E$26:M$126,MATCH('Step 6 Quality Check'!C624,'Step 4 Stage Discharge'!E$26:E$126,1)+1,1)-INDEX('Step 4 Stage Discharge'!E$26:M$126,MATCH('Step 6 Quality Check'!C624,'Step 4 Stage Discharge'!E$26:E$126,1),1))</f>
        <v>4.3639431710317386E-3</v>
      </c>
      <c r="F624" s="218">
        <f t="shared" si="45"/>
        <v>0</v>
      </c>
      <c r="G624" s="218">
        <f t="shared" si="46"/>
        <v>0</v>
      </c>
    </row>
    <row r="625" spans="1:7">
      <c r="A625" s="217">
        <f t="shared" si="47"/>
        <v>3045</v>
      </c>
      <c r="B625" s="216">
        <f t="shared" si="48"/>
        <v>99.1</v>
      </c>
      <c r="C625" s="218">
        <f t="shared" si="49"/>
        <v>0</v>
      </c>
      <c r="D625" s="219">
        <f>INDEX('Step 4 Stage Discharge'!E$26:F$126,MATCH(C625,'Step 4 Stage Discharge'!E$26:E$126,1),2)+(INDEX('Step 4 Stage Discharge'!E$26:F$126,MATCH(C625,'Step 4 Stage Discharge'!E$26:E$126,1)+1,2)-INDEX('Step 4 Stage Discharge'!E$26:F$126,MATCH(C625,'Step 4 Stage Discharge'!E$26:E$126,1),2))*(C625-INDEX('Step 4 Stage Discharge'!E$26:F$126,MATCH(C625,'Step 4 Stage Discharge'!E$26:E$126,1),1))/(INDEX('Step 4 Stage Discharge'!E$26:F$126,MATCH(C625,'Step 4 Stage Discharge'!E$26:E$126,1)+1,1)-INDEX('Step 4 Stage Discharge'!E$26:F$126,MATCH(C625,'Step 4 Stage Discharge'!E$26:E$126,1),1))</f>
        <v>0</v>
      </c>
      <c r="E625" s="219">
        <f>INDEX('Step 4 Stage Discharge'!E$26:M$126,MATCH(C625,'Step 4 Stage Discharge'!E$26:E$126,1),9)+(INDEX('Step 4 Stage Discharge'!E$26:M$126,MATCH('Step 6 Quality Check'!C625,'Step 4 Stage Discharge'!E$26:E$126,1)+1,9)-INDEX('Step 4 Stage Discharge'!E$26:M$126,MATCH('Step 6 Quality Check'!C625,'Step 4 Stage Discharge'!E$26:E$126,1),9))*('Step 6 Quality Check'!C625-INDEX('Step 4 Stage Discharge'!E$26:M$126,MATCH('Step 6 Quality Check'!C625,'Step 4 Stage Discharge'!E$26:E$126,1),1))/(INDEX('Step 4 Stage Discharge'!E$26:M$126,MATCH('Step 6 Quality Check'!C625,'Step 4 Stage Discharge'!E$26:E$126,1)+1,1)-INDEX('Step 4 Stage Discharge'!E$26:M$126,MATCH('Step 6 Quality Check'!C625,'Step 4 Stage Discharge'!E$26:E$126,1),1))</f>
        <v>4.3639431710317386E-3</v>
      </c>
      <c r="F625" s="218">
        <f t="shared" si="45"/>
        <v>0</v>
      </c>
      <c r="G625" s="218">
        <f t="shared" si="46"/>
        <v>0</v>
      </c>
    </row>
    <row r="626" spans="1:7">
      <c r="A626" s="217">
        <f t="shared" si="47"/>
        <v>3050</v>
      </c>
      <c r="B626" s="216">
        <f t="shared" si="48"/>
        <v>99.1</v>
      </c>
      <c r="C626" s="218">
        <f t="shared" si="49"/>
        <v>0</v>
      </c>
      <c r="D626" s="219">
        <f>INDEX('Step 4 Stage Discharge'!E$26:F$126,MATCH(C626,'Step 4 Stage Discharge'!E$26:E$126,1),2)+(INDEX('Step 4 Stage Discharge'!E$26:F$126,MATCH(C626,'Step 4 Stage Discharge'!E$26:E$126,1)+1,2)-INDEX('Step 4 Stage Discharge'!E$26:F$126,MATCH(C626,'Step 4 Stage Discharge'!E$26:E$126,1),2))*(C626-INDEX('Step 4 Stage Discharge'!E$26:F$126,MATCH(C626,'Step 4 Stage Discharge'!E$26:E$126,1),1))/(INDEX('Step 4 Stage Discharge'!E$26:F$126,MATCH(C626,'Step 4 Stage Discharge'!E$26:E$126,1)+1,1)-INDEX('Step 4 Stage Discharge'!E$26:F$126,MATCH(C626,'Step 4 Stage Discharge'!E$26:E$126,1),1))</f>
        <v>0</v>
      </c>
      <c r="E626" s="219">
        <f>INDEX('Step 4 Stage Discharge'!E$26:M$126,MATCH(C626,'Step 4 Stage Discharge'!E$26:E$126,1),9)+(INDEX('Step 4 Stage Discharge'!E$26:M$126,MATCH('Step 6 Quality Check'!C626,'Step 4 Stage Discharge'!E$26:E$126,1)+1,9)-INDEX('Step 4 Stage Discharge'!E$26:M$126,MATCH('Step 6 Quality Check'!C626,'Step 4 Stage Discharge'!E$26:E$126,1),9))*('Step 6 Quality Check'!C626-INDEX('Step 4 Stage Discharge'!E$26:M$126,MATCH('Step 6 Quality Check'!C626,'Step 4 Stage Discharge'!E$26:E$126,1),1))/(INDEX('Step 4 Stage Discharge'!E$26:M$126,MATCH('Step 6 Quality Check'!C626,'Step 4 Stage Discharge'!E$26:E$126,1)+1,1)-INDEX('Step 4 Stage Discharge'!E$26:M$126,MATCH('Step 6 Quality Check'!C626,'Step 4 Stage Discharge'!E$26:E$126,1),1))</f>
        <v>4.3639431710317386E-3</v>
      </c>
      <c r="F626" s="218">
        <f t="shared" si="45"/>
        <v>0</v>
      </c>
      <c r="G626" s="218">
        <f t="shared" si="46"/>
        <v>0</v>
      </c>
    </row>
    <row r="627" spans="1:7">
      <c r="A627" s="217">
        <f t="shared" si="47"/>
        <v>3055</v>
      </c>
      <c r="B627" s="216">
        <f t="shared" si="48"/>
        <v>99.1</v>
      </c>
      <c r="C627" s="218">
        <f t="shared" si="49"/>
        <v>0</v>
      </c>
      <c r="D627" s="219">
        <f>INDEX('Step 4 Stage Discharge'!E$26:F$126,MATCH(C627,'Step 4 Stage Discharge'!E$26:E$126,1),2)+(INDEX('Step 4 Stage Discharge'!E$26:F$126,MATCH(C627,'Step 4 Stage Discharge'!E$26:E$126,1)+1,2)-INDEX('Step 4 Stage Discharge'!E$26:F$126,MATCH(C627,'Step 4 Stage Discharge'!E$26:E$126,1),2))*(C627-INDEX('Step 4 Stage Discharge'!E$26:F$126,MATCH(C627,'Step 4 Stage Discharge'!E$26:E$126,1),1))/(INDEX('Step 4 Stage Discharge'!E$26:F$126,MATCH(C627,'Step 4 Stage Discharge'!E$26:E$126,1)+1,1)-INDEX('Step 4 Stage Discharge'!E$26:F$126,MATCH(C627,'Step 4 Stage Discharge'!E$26:E$126,1),1))</f>
        <v>0</v>
      </c>
      <c r="E627" s="219">
        <f>INDEX('Step 4 Stage Discharge'!E$26:M$126,MATCH(C627,'Step 4 Stage Discharge'!E$26:E$126,1),9)+(INDEX('Step 4 Stage Discharge'!E$26:M$126,MATCH('Step 6 Quality Check'!C627,'Step 4 Stage Discharge'!E$26:E$126,1)+1,9)-INDEX('Step 4 Stage Discharge'!E$26:M$126,MATCH('Step 6 Quality Check'!C627,'Step 4 Stage Discharge'!E$26:E$126,1),9))*('Step 6 Quality Check'!C627-INDEX('Step 4 Stage Discharge'!E$26:M$126,MATCH('Step 6 Quality Check'!C627,'Step 4 Stage Discharge'!E$26:E$126,1),1))/(INDEX('Step 4 Stage Discharge'!E$26:M$126,MATCH('Step 6 Quality Check'!C627,'Step 4 Stage Discharge'!E$26:E$126,1)+1,1)-INDEX('Step 4 Stage Discharge'!E$26:M$126,MATCH('Step 6 Quality Check'!C627,'Step 4 Stage Discharge'!E$26:E$126,1),1))</f>
        <v>4.3639431710317386E-3</v>
      </c>
      <c r="F627" s="218">
        <f t="shared" si="45"/>
        <v>0</v>
      </c>
      <c r="G627" s="218">
        <f t="shared" si="46"/>
        <v>0</v>
      </c>
    </row>
    <row r="628" spans="1:7">
      <c r="A628" s="217">
        <f t="shared" si="47"/>
        <v>3060</v>
      </c>
      <c r="B628" s="216">
        <f t="shared" si="48"/>
        <v>99.1</v>
      </c>
      <c r="C628" s="218">
        <f t="shared" si="49"/>
        <v>0</v>
      </c>
      <c r="D628" s="219">
        <f>INDEX('Step 4 Stage Discharge'!E$26:F$126,MATCH(C628,'Step 4 Stage Discharge'!E$26:E$126,1),2)+(INDEX('Step 4 Stage Discharge'!E$26:F$126,MATCH(C628,'Step 4 Stage Discharge'!E$26:E$126,1)+1,2)-INDEX('Step 4 Stage Discharge'!E$26:F$126,MATCH(C628,'Step 4 Stage Discharge'!E$26:E$126,1),2))*(C628-INDEX('Step 4 Stage Discharge'!E$26:F$126,MATCH(C628,'Step 4 Stage Discharge'!E$26:E$126,1),1))/(INDEX('Step 4 Stage Discharge'!E$26:F$126,MATCH(C628,'Step 4 Stage Discharge'!E$26:E$126,1)+1,1)-INDEX('Step 4 Stage Discharge'!E$26:F$126,MATCH(C628,'Step 4 Stage Discharge'!E$26:E$126,1),1))</f>
        <v>0</v>
      </c>
      <c r="E628" s="219">
        <f>INDEX('Step 4 Stage Discharge'!E$26:M$126,MATCH(C628,'Step 4 Stage Discharge'!E$26:E$126,1),9)+(INDEX('Step 4 Stage Discharge'!E$26:M$126,MATCH('Step 6 Quality Check'!C628,'Step 4 Stage Discharge'!E$26:E$126,1)+1,9)-INDEX('Step 4 Stage Discharge'!E$26:M$126,MATCH('Step 6 Quality Check'!C628,'Step 4 Stage Discharge'!E$26:E$126,1),9))*('Step 6 Quality Check'!C628-INDEX('Step 4 Stage Discharge'!E$26:M$126,MATCH('Step 6 Quality Check'!C628,'Step 4 Stage Discharge'!E$26:E$126,1),1))/(INDEX('Step 4 Stage Discharge'!E$26:M$126,MATCH('Step 6 Quality Check'!C628,'Step 4 Stage Discharge'!E$26:E$126,1)+1,1)-INDEX('Step 4 Stage Discharge'!E$26:M$126,MATCH('Step 6 Quality Check'!C628,'Step 4 Stage Discharge'!E$26:E$126,1),1))</f>
        <v>4.3639431710317386E-3</v>
      </c>
      <c r="F628" s="218">
        <f t="shared" si="45"/>
        <v>0</v>
      </c>
      <c r="G628" s="218">
        <f t="shared" si="46"/>
        <v>0</v>
      </c>
    </row>
    <row r="629" spans="1:7">
      <c r="A629" s="217">
        <f t="shared" si="47"/>
        <v>3065</v>
      </c>
      <c r="B629" s="216">
        <f t="shared" si="48"/>
        <v>99.1</v>
      </c>
      <c r="C629" s="218">
        <f t="shared" si="49"/>
        <v>0</v>
      </c>
      <c r="D629" s="219">
        <f>INDEX('Step 4 Stage Discharge'!E$26:F$126,MATCH(C629,'Step 4 Stage Discharge'!E$26:E$126,1),2)+(INDEX('Step 4 Stage Discharge'!E$26:F$126,MATCH(C629,'Step 4 Stage Discharge'!E$26:E$126,1)+1,2)-INDEX('Step 4 Stage Discharge'!E$26:F$126,MATCH(C629,'Step 4 Stage Discharge'!E$26:E$126,1),2))*(C629-INDEX('Step 4 Stage Discharge'!E$26:F$126,MATCH(C629,'Step 4 Stage Discharge'!E$26:E$126,1),1))/(INDEX('Step 4 Stage Discharge'!E$26:F$126,MATCH(C629,'Step 4 Stage Discharge'!E$26:E$126,1)+1,1)-INDEX('Step 4 Stage Discharge'!E$26:F$126,MATCH(C629,'Step 4 Stage Discharge'!E$26:E$126,1),1))</f>
        <v>0</v>
      </c>
      <c r="E629" s="219">
        <f>INDEX('Step 4 Stage Discharge'!E$26:M$126,MATCH(C629,'Step 4 Stage Discharge'!E$26:E$126,1),9)+(INDEX('Step 4 Stage Discharge'!E$26:M$126,MATCH('Step 6 Quality Check'!C629,'Step 4 Stage Discharge'!E$26:E$126,1)+1,9)-INDEX('Step 4 Stage Discharge'!E$26:M$126,MATCH('Step 6 Quality Check'!C629,'Step 4 Stage Discharge'!E$26:E$126,1),9))*('Step 6 Quality Check'!C629-INDEX('Step 4 Stage Discharge'!E$26:M$126,MATCH('Step 6 Quality Check'!C629,'Step 4 Stage Discharge'!E$26:E$126,1),1))/(INDEX('Step 4 Stage Discharge'!E$26:M$126,MATCH('Step 6 Quality Check'!C629,'Step 4 Stage Discharge'!E$26:E$126,1)+1,1)-INDEX('Step 4 Stage Discharge'!E$26:M$126,MATCH('Step 6 Quality Check'!C629,'Step 4 Stage Discharge'!E$26:E$126,1),1))</f>
        <v>4.3639431710317386E-3</v>
      </c>
      <c r="F629" s="218">
        <f t="shared" si="45"/>
        <v>0</v>
      </c>
      <c r="G629" s="218">
        <f t="shared" si="46"/>
        <v>0</v>
      </c>
    </row>
    <row r="630" spans="1:7">
      <c r="A630" s="217">
        <f t="shared" si="47"/>
        <v>3070</v>
      </c>
      <c r="B630" s="216">
        <f t="shared" si="48"/>
        <v>99.1</v>
      </c>
      <c r="C630" s="218">
        <f t="shared" si="49"/>
        <v>0</v>
      </c>
      <c r="D630" s="219">
        <f>INDEX('Step 4 Stage Discharge'!E$26:F$126,MATCH(C630,'Step 4 Stage Discharge'!E$26:E$126,1),2)+(INDEX('Step 4 Stage Discharge'!E$26:F$126,MATCH(C630,'Step 4 Stage Discharge'!E$26:E$126,1)+1,2)-INDEX('Step 4 Stage Discharge'!E$26:F$126,MATCH(C630,'Step 4 Stage Discharge'!E$26:E$126,1),2))*(C630-INDEX('Step 4 Stage Discharge'!E$26:F$126,MATCH(C630,'Step 4 Stage Discharge'!E$26:E$126,1),1))/(INDEX('Step 4 Stage Discharge'!E$26:F$126,MATCH(C630,'Step 4 Stage Discharge'!E$26:E$126,1)+1,1)-INDEX('Step 4 Stage Discharge'!E$26:F$126,MATCH(C630,'Step 4 Stage Discharge'!E$26:E$126,1),1))</f>
        <v>0</v>
      </c>
      <c r="E630" s="219">
        <f>INDEX('Step 4 Stage Discharge'!E$26:M$126,MATCH(C630,'Step 4 Stage Discharge'!E$26:E$126,1),9)+(INDEX('Step 4 Stage Discharge'!E$26:M$126,MATCH('Step 6 Quality Check'!C630,'Step 4 Stage Discharge'!E$26:E$126,1)+1,9)-INDEX('Step 4 Stage Discharge'!E$26:M$126,MATCH('Step 6 Quality Check'!C630,'Step 4 Stage Discharge'!E$26:E$126,1),9))*('Step 6 Quality Check'!C630-INDEX('Step 4 Stage Discharge'!E$26:M$126,MATCH('Step 6 Quality Check'!C630,'Step 4 Stage Discharge'!E$26:E$126,1),1))/(INDEX('Step 4 Stage Discharge'!E$26:M$126,MATCH('Step 6 Quality Check'!C630,'Step 4 Stage Discharge'!E$26:E$126,1)+1,1)-INDEX('Step 4 Stage Discharge'!E$26:M$126,MATCH('Step 6 Quality Check'!C630,'Step 4 Stage Discharge'!E$26:E$126,1),1))</f>
        <v>4.3639431710317386E-3</v>
      </c>
      <c r="F630" s="218">
        <f t="shared" si="45"/>
        <v>0</v>
      </c>
      <c r="G630" s="218">
        <f t="shared" si="46"/>
        <v>0</v>
      </c>
    </row>
    <row r="631" spans="1:7">
      <c r="A631" s="217">
        <f t="shared" si="47"/>
        <v>3075</v>
      </c>
      <c r="B631" s="216">
        <f t="shared" si="48"/>
        <v>99.1</v>
      </c>
      <c r="C631" s="218">
        <f t="shared" si="49"/>
        <v>0</v>
      </c>
      <c r="D631" s="219">
        <f>INDEX('Step 4 Stage Discharge'!E$26:F$126,MATCH(C631,'Step 4 Stage Discharge'!E$26:E$126,1),2)+(INDEX('Step 4 Stage Discharge'!E$26:F$126,MATCH(C631,'Step 4 Stage Discharge'!E$26:E$126,1)+1,2)-INDEX('Step 4 Stage Discharge'!E$26:F$126,MATCH(C631,'Step 4 Stage Discharge'!E$26:E$126,1),2))*(C631-INDEX('Step 4 Stage Discharge'!E$26:F$126,MATCH(C631,'Step 4 Stage Discharge'!E$26:E$126,1),1))/(INDEX('Step 4 Stage Discharge'!E$26:F$126,MATCH(C631,'Step 4 Stage Discharge'!E$26:E$126,1)+1,1)-INDEX('Step 4 Stage Discharge'!E$26:F$126,MATCH(C631,'Step 4 Stage Discharge'!E$26:E$126,1),1))</f>
        <v>0</v>
      </c>
      <c r="E631" s="219">
        <f>INDEX('Step 4 Stage Discharge'!E$26:M$126,MATCH(C631,'Step 4 Stage Discharge'!E$26:E$126,1),9)+(INDEX('Step 4 Stage Discharge'!E$26:M$126,MATCH('Step 6 Quality Check'!C631,'Step 4 Stage Discharge'!E$26:E$126,1)+1,9)-INDEX('Step 4 Stage Discharge'!E$26:M$126,MATCH('Step 6 Quality Check'!C631,'Step 4 Stage Discharge'!E$26:E$126,1),9))*('Step 6 Quality Check'!C631-INDEX('Step 4 Stage Discharge'!E$26:M$126,MATCH('Step 6 Quality Check'!C631,'Step 4 Stage Discharge'!E$26:E$126,1),1))/(INDEX('Step 4 Stage Discharge'!E$26:M$126,MATCH('Step 6 Quality Check'!C631,'Step 4 Stage Discharge'!E$26:E$126,1)+1,1)-INDEX('Step 4 Stage Discharge'!E$26:M$126,MATCH('Step 6 Quality Check'!C631,'Step 4 Stage Discharge'!E$26:E$126,1),1))</f>
        <v>4.3639431710317386E-3</v>
      </c>
      <c r="F631" s="218">
        <f t="shared" si="45"/>
        <v>0</v>
      </c>
      <c r="G631" s="218">
        <f t="shared" si="46"/>
        <v>0</v>
      </c>
    </row>
    <row r="632" spans="1:7">
      <c r="A632" s="217">
        <f t="shared" si="47"/>
        <v>3080</v>
      </c>
      <c r="B632" s="216">
        <f t="shared" si="48"/>
        <v>99.1</v>
      </c>
      <c r="C632" s="218">
        <f t="shared" si="49"/>
        <v>0</v>
      </c>
      <c r="D632" s="219">
        <f>INDEX('Step 4 Stage Discharge'!E$26:F$126,MATCH(C632,'Step 4 Stage Discharge'!E$26:E$126,1),2)+(INDEX('Step 4 Stage Discharge'!E$26:F$126,MATCH(C632,'Step 4 Stage Discharge'!E$26:E$126,1)+1,2)-INDEX('Step 4 Stage Discharge'!E$26:F$126,MATCH(C632,'Step 4 Stage Discharge'!E$26:E$126,1),2))*(C632-INDEX('Step 4 Stage Discharge'!E$26:F$126,MATCH(C632,'Step 4 Stage Discharge'!E$26:E$126,1),1))/(INDEX('Step 4 Stage Discharge'!E$26:F$126,MATCH(C632,'Step 4 Stage Discharge'!E$26:E$126,1)+1,1)-INDEX('Step 4 Stage Discharge'!E$26:F$126,MATCH(C632,'Step 4 Stage Discharge'!E$26:E$126,1),1))</f>
        <v>0</v>
      </c>
      <c r="E632" s="219">
        <f>INDEX('Step 4 Stage Discharge'!E$26:M$126,MATCH(C632,'Step 4 Stage Discharge'!E$26:E$126,1),9)+(INDEX('Step 4 Stage Discharge'!E$26:M$126,MATCH('Step 6 Quality Check'!C632,'Step 4 Stage Discharge'!E$26:E$126,1)+1,9)-INDEX('Step 4 Stage Discharge'!E$26:M$126,MATCH('Step 6 Quality Check'!C632,'Step 4 Stage Discharge'!E$26:E$126,1),9))*('Step 6 Quality Check'!C632-INDEX('Step 4 Stage Discharge'!E$26:M$126,MATCH('Step 6 Quality Check'!C632,'Step 4 Stage Discharge'!E$26:E$126,1),1))/(INDEX('Step 4 Stage Discharge'!E$26:M$126,MATCH('Step 6 Quality Check'!C632,'Step 4 Stage Discharge'!E$26:E$126,1)+1,1)-INDEX('Step 4 Stage Discharge'!E$26:M$126,MATCH('Step 6 Quality Check'!C632,'Step 4 Stage Discharge'!E$26:E$126,1),1))</f>
        <v>4.3639431710317386E-3</v>
      </c>
      <c r="F632" s="218">
        <f t="shared" si="45"/>
        <v>0</v>
      </c>
      <c r="G632" s="218">
        <f t="shared" si="46"/>
        <v>0</v>
      </c>
    </row>
    <row r="633" spans="1:7">
      <c r="A633" s="217">
        <f t="shared" si="47"/>
        <v>3085</v>
      </c>
      <c r="B633" s="216">
        <f t="shared" si="48"/>
        <v>99.1</v>
      </c>
      <c r="C633" s="218">
        <f t="shared" si="49"/>
        <v>0</v>
      </c>
      <c r="D633" s="219">
        <f>INDEX('Step 4 Stage Discharge'!E$26:F$126,MATCH(C633,'Step 4 Stage Discharge'!E$26:E$126,1),2)+(INDEX('Step 4 Stage Discharge'!E$26:F$126,MATCH(C633,'Step 4 Stage Discharge'!E$26:E$126,1)+1,2)-INDEX('Step 4 Stage Discharge'!E$26:F$126,MATCH(C633,'Step 4 Stage Discharge'!E$26:E$126,1),2))*(C633-INDEX('Step 4 Stage Discharge'!E$26:F$126,MATCH(C633,'Step 4 Stage Discharge'!E$26:E$126,1),1))/(INDEX('Step 4 Stage Discharge'!E$26:F$126,MATCH(C633,'Step 4 Stage Discharge'!E$26:E$126,1)+1,1)-INDEX('Step 4 Stage Discharge'!E$26:F$126,MATCH(C633,'Step 4 Stage Discharge'!E$26:E$126,1),1))</f>
        <v>0</v>
      </c>
      <c r="E633" s="219">
        <f>INDEX('Step 4 Stage Discharge'!E$26:M$126,MATCH(C633,'Step 4 Stage Discharge'!E$26:E$126,1),9)+(INDEX('Step 4 Stage Discharge'!E$26:M$126,MATCH('Step 6 Quality Check'!C633,'Step 4 Stage Discharge'!E$26:E$126,1)+1,9)-INDEX('Step 4 Stage Discharge'!E$26:M$126,MATCH('Step 6 Quality Check'!C633,'Step 4 Stage Discharge'!E$26:E$126,1),9))*('Step 6 Quality Check'!C633-INDEX('Step 4 Stage Discharge'!E$26:M$126,MATCH('Step 6 Quality Check'!C633,'Step 4 Stage Discharge'!E$26:E$126,1),1))/(INDEX('Step 4 Stage Discharge'!E$26:M$126,MATCH('Step 6 Quality Check'!C633,'Step 4 Stage Discharge'!E$26:E$126,1)+1,1)-INDEX('Step 4 Stage Discharge'!E$26:M$126,MATCH('Step 6 Quality Check'!C633,'Step 4 Stage Discharge'!E$26:E$126,1),1))</f>
        <v>4.3639431710317386E-3</v>
      </c>
      <c r="F633" s="218">
        <f t="shared" si="45"/>
        <v>0</v>
      </c>
      <c r="G633" s="218">
        <f t="shared" si="46"/>
        <v>0</v>
      </c>
    </row>
    <row r="634" spans="1:7">
      <c r="A634" s="217">
        <f t="shared" si="47"/>
        <v>3090</v>
      </c>
      <c r="B634" s="216">
        <f t="shared" si="48"/>
        <v>99.1</v>
      </c>
      <c r="C634" s="218">
        <f t="shared" si="49"/>
        <v>0</v>
      </c>
      <c r="D634" s="219">
        <f>INDEX('Step 4 Stage Discharge'!E$26:F$126,MATCH(C634,'Step 4 Stage Discharge'!E$26:E$126,1),2)+(INDEX('Step 4 Stage Discharge'!E$26:F$126,MATCH(C634,'Step 4 Stage Discharge'!E$26:E$126,1)+1,2)-INDEX('Step 4 Stage Discharge'!E$26:F$126,MATCH(C634,'Step 4 Stage Discharge'!E$26:E$126,1),2))*(C634-INDEX('Step 4 Stage Discharge'!E$26:F$126,MATCH(C634,'Step 4 Stage Discharge'!E$26:E$126,1),1))/(INDEX('Step 4 Stage Discharge'!E$26:F$126,MATCH(C634,'Step 4 Stage Discharge'!E$26:E$126,1)+1,1)-INDEX('Step 4 Stage Discharge'!E$26:F$126,MATCH(C634,'Step 4 Stage Discharge'!E$26:E$126,1),1))</f>
        <v>0</v>
      </c>
      <c r="E634" s="219">
        <f>INDEX('Step 4 Stage Discharge'!E$26:M$126,MATCH(C634,'Step 4 Stage Discharge'!E$26:E$126,1),9)+(INDEX('Step 4 Stage Discharge'!E$26:M$126,MATCH('Step 6 Quality Check'!C634,'Step 4 Stage Discharge'!E$26:E$126,1)+1,9)-INDEX('Step 4 Stage Discharge'!E$26:M$126,MATCH('Step 6 Quality Check'!C634,'Step 4 Stage Discharge'!E$26:E$126,1),9))*('Step 6 Quality Check'!C634-INDEX('Step 4 Stage Discharge'!E$26:M$126,MATCH('Step 6 Quality Check'!C634,'Step 4 Stage Discharge'!E$26:E$126,1),1))/(INDEX('Step 4 Stage Discharge'!E$26:M$126,MATCH('Step 6 Quality Check'!C634,'Step 4 Stage Discharge'!E$26:E$126,1)+1,1)-INDEX('Step 4 Stage Discharge'!E$26:M$126,MATCH('Step 6 Quality Check'!C634,'Step 4 Stage Discharge'!E$26:E$126,1),1))</f>
        <v>4.3639431710317386E-3</v>
      </c>
      <c r="F634" s="218">
        <f t="shared" si="45"/>
        <v>0</v>
      </c>
      <c r="G634" s="218">
        <f t="shared" si="46"/>
        <v>0</v>
      </c>
    </row>
    <row r="635" spans="1:7">
      <c r="A635" s="217">
        <f t="shared" si="47"/>
        <v>3095</v>
      </c>
      <c r="B635" s="216">
        <f t="shared" si="48"/>
        <v>99.1</v>
      </c>
      <c r="C635" s="218">
        <f t="shared" si="49"/>
        <v>0</v>
      </c>
      <c r="D635" s="219">
        <f>INDEX('Step 4 Stage Discharge'!E$26:F$126,MATCH(C635,'Step 4 Stage Discharge'!E$26:E$126,1),2)+(INDEX('Step 4 Stage Discharge'!E$26:F$126,MATCH(C635,'Step 4 Stage Discharge'!E$26:E$126,1)+1,2)-INDEX('Step 4 Stage Discharge'!E$26:F$126,MATCH(C635,'Step 4 Stage Discharge'!E$26:E$126,1),2))*(C635-INDEX('Step 4 Stage Discharge'!E$26:F$126,MATCH(C635,'Step 4 Stage Discharge'!E$26:E$126,1),1))/(INDEX('Step 4 Stage Discharge'!E$26:F$126,MATCH(C635,'Step 4 Stage Discharge'!E$26:E$126,1)+1,1)-INDEX('Step 4 Stage Discharge'!E$26:F$126,MATCH(C635,'Step 4 Stage Discharge'!E$26:E$126,1),1))</f>
        <v>0</v>
      </c>
      <c r="E635" s="219">
        <f>INDEX('Step 4 Stage Discharge'!E$26:M$126,MATCH(C635,'Step 4 Stage Discharge'!E$26:E$126,1),9)+(INDEX('Step 4 Stage Discharge'!E$26:M$126,MATCH('Step 6 Quality Check'!C635,'Step 4 Stage Discharge'!E$26:E$126,1)+1,9)-INDEX('Step 4 Stage Discharge'!E$26:M$126,MATCH('Step 6 Quality Check'!C635,'Step 4 Stage Discharge'!E$26:E$126,1),9))*('Step 6 Quality Check'!C635-INDEX('Step 4 Stage Discharge'!E$26:M$126,MATCH('Step 6 Quality Check'!C635,'Step 4 Stage Discharge'!E$26:E$126,1),1))/(INDEX('Step 4 Stage Discharge'!E$26:M$126,MATCH('Step 6 Quality Check'!C635,'Step 4 Stage Discharge'!E$26:E$126,1)+1,1)-INDEX('Step 4 Stage Discharge'!E$26:M$126,MATCH('Step 6 Quality Check'!C635,'Step 4 Stage Discharge'!E$26:E$126,1),1))</f>
        <v>4.3639431710317386E-3</v>
      </c>
      <c r="F635" s="218">
        <f t="shared" si="45"/>
        <v>0</v>
      </c>
      <c r="G635" s="218">
        <f t="shared" si="46"/>
        <v>0</v>
      </c>
    </row>
    <row r="636" spans="1:7">
      <c r="A636" s="217">
        <f t="shared" si="47"/>
        <v>3100</v>
      </c>
      <c r="B636" s="216">
        <f t="shared" si="48"/>
        <v>99.1</v>
      </c>
      <c r="C636" s="218">
        <f t="shared" si="49"/>
        <v>0</v>
      </c>
      <c r="D636" s="219">
        <f>INDEX('Step 4 Stage Discharge'!E$26:F$126,MATCH(C636,'Step 4 Stage Discharge'!E$26:E$126,1),2)+(INDEX('Step 4 Stage Discharge'!E$26:F$126,MATCH(C636,'Step 4 Stage Discharge'!E$26:E$126,1)+1,2)-INDEX('Step 4 Stage Discharge'!E$26:F$126,MATCH(C636,'Step 4 Stage Discharge'!E$26:E$126,1),2))*(C636-INDEX('Step 4 Stage Discharge'!E$26:F$126,MATCH(C636,'Step 4 Stage Discharge'!E$26:E$126,1),1))/(INDEX('Step 4 Stage Discharge'!E$26:F$126,MATCH(C636,'Step 4 Stage Discharge'!E$26:E$126,1)+1,1)-INDEX('Step 4 Stage Discharge'!E$26:F$126,MATCH(C636,'Step 4 Stage Discharge'!E$26:E$126,1),1))</f>
        <v>0</v>
      </c>
      <c r="E636" s="219">
        <f>INDEX('Step 4 Stage Discharge'!E$26:M$126,MATCH(C636,'Step 4 Stage Discharge'!E$26:E$126,1),9)+(INDEX('Step 4 Stage Discharge'!E$26:M$126,MATCH('Step 6 Quality Check'!C636,'Step 4 Stage Discharge'!E$26:E$126,1)+1,9)-INDEX('Step 4 Stage Discharge'!E$26:M$126,MATCH('Step 6 Quality Check'!C636,'Step 4 Stage Discharge'!E$26:E$126,1),9))*('Step 6 Quality Check'!C636-INDEX('Step 4 Stage Discharge'!E$26:M$126,MATCH('Step 6 Quality Check'!C636,'Step 4 Stage Discharge'!E$26:E$126,1),1))/(INDEX('Step 4 Stage Discharge'!E$26:M$126,MATCH('Step 6 Quality Check'!C636,'Step 4 Stage Discharge'!E$26:E$126,1)+1,1)-INDEX('Step 4 Stage Discharge'!E$26:M$126,MATCH('Step 6 Quality Check'!C636,'Step 4 Stage Discharge'!E$26:E$126,1),1))</f>
        <v>4.3639431710317386E-3</v>
      </c>
      <c r="F636" s="218">
        <f t="shared" si="45"/>
        <v>0</v>
      </c>
      <c r="G636" s="218">
        <f t="shared" si="46"/>
        <v>0</v>
      </c>
    </row>
    <row r="637" spans="1:7">
      <c r="A637" s="217">
        <f t="shared" si="47"/>
        <v>3105</v>
      </c>
      <c r="B637" s="216">
        <f t="shared" si="48"/>
        <v>99.1</v>
      </c>
      <c r="C637" s="218">
        <f t="shared" si="49"/>
        <v>0</v>
      </c>
      <c r="D637" s="219">
        <f>INDEX('Step 4 Stage Discharge'!E$26:F$126,MATCH(C637,'Step 4 Stage Discharge'!E$26:E$126,1),2)+(INDEX('Step 4 Stage Discharge'!E$26:F$126,MATCH(C637,'Step 4 Stage Discharge'!E$26:E$126,1)+1,2)-INDEX('Step 4 Stage Discharge'!E$26:F$126,MATCH(C637,'Step 4 Stage Discharge'!E$26:E$126,1),2))*(C637-INDEX('Step 4 Stage Discharge'!E$26:F$126,MATCH(C637,'Step 4 Stage Discharge'!E$26:E$126,1),1))/(INDEX('Step 4 Stage Discharge'!E$26:F$126,MATCH(C637,'Step 4 Stage Discharge'!E$26:E$126,1)+1,1)-INDEX('Step 4 Stage Discharge'!E$26:F$126,MATCH(C637,'Step 4 Stage Discharge'!E$26:E$126,1),1))</f>
        <v>0</v>
      </c>
      <c r="E637" s="219">
        <f>INDEX('Step 4 Stage Discharge'!E$26:M$126,MATCH(C637,'Step 4 Stage Discharge'!E$26:E$126,1),9)+(INDEX('Step 4 Stage Discharge'!E$26:M$126,MATCH('Step 6 Quality Check'!C637,'Step 4 Stage Discharge'!E$26:E$126,1)+1,9)-INDEX('Step 4 Stage Discharge'!E$26:M$126,MATCH('Step 6 Quality Check'!C637,'Step 4 Stage Discharge'!E$26:E$126,1),9))*('Step 6 Quality Check'!C637-INDEX('Step 4 Stage Discharge'!E$26:M$126,MATCH('Step 6 Quality Check'!C637,'Step 4 Stage Discharge'!E$26:E$126,1),1))/(INDEX('Step 4 Stage Discharge'!E$26:M$126,MATCH('Step 6 Quality Check'!C637,'Step 4 Stage Discharge'!E$26:E$126,1)+1,1)-INDEX('Step 4 Stage Discharge'!E$26:M$126,MATCH('Step 6 Quality Check'!C637,'Step 4 Stage Discharge'!E$26:E$126,1),1))</f>
        <v>4.3639431710317386E-3</v>
      </c>
      <c r="F637" s="218">
        <f t="shared" si="45"/>
        <v>0</v>
      </c>
      <c r="G637" s="218">
        <f t="shared" si="46"/>
        <v>0</v>
      </c>
    </row>
    <row r="638" spans="1:7">
      <c r="A638" s="217">
        <f t="shared" si="47"/>
        <v>3110</v>
      </c>
      <c r="B638" s="216">
        <f t="shared" si="48"/>
        <v>99.1</v>
      </c>
      <c r="C638" s="218">
        <f t="shared" si="49"/>
        <v>0</v>
      </c>
      <c r="D638" s="219">
        <f>INDEX('Step 4 Stage Discharge'!E$26:F$126,MATCH(C638,'Step 4 Stage Discharge'!E$26:E$126,1),2)+(INDEX('Step 4 Stage Discharge'!E$26:F$126,MATCH(C638,'Step 4 Stage Discharge'!E$26:E$126,1)+1,2)-INDEX('Step 4 Stage Discharge'!E$26:F$126,MATCH(C638,'Step 4 Stage Discharge'!E$26:E$126,1),2))*(C638-INDEX('Step 4 Stage Discharge'!E$26:F$126,MATCH(C638,'Step 4 Stage Discharge'!E$26:E$126,1),1))/(INDEX('Step 4 Stage Discharge'!E$26:F$126,MATCH(C638,'Step 4 Stage Discharge'!E$26:E$126,1)+1,1)-INDEX('Step 4 Stage Discharge'!E$26:F$126,MATCH(C638,'Step 4 Stage Discharge'!E$26:E$126,1),1))</f>
        <v>0</v>
      </c>
      <c r="E638" s="219">
        <f>INDEX('Step 4 Stage Discharge'!E$26:M$126,MATCH(C638,'Step 4 Stage Discharge'!E$26:E$126,1),9)+(INDEX('Step 4 Stage Discharge'!E$26:M$126,MATCH('Step 6 Quality Check'!C638,'Step 4 Stage Discharge'!E$26:E$126,1)+1,9)-INDEX('Step 4 Stage Discharge'!E$26:M$126,MATCH('Step 6 Quality Check'!C638,'Step 4 Stage Discharge'!E$26:E$126,1),9))*('Step 6 Quality Check'!C638-INDEX('Step 4 Stage Discharge'!E$26:M$126,MATCH('Step 6 Quality Check'!C638,'Step 4 Stage Discharge'!E$26:E$126,1),1))/(INDEX('Step 4 Stage Discharge'!E$26:M$126,MATCH('Step 6 Quality Check'!C638,'Step 4 Stage Discharge'!E$26:E$126,1)+1,1)-INDEX('Step 4 Stage Discharge'!E$26:M$126,MATCH('Step 6 Quality Check'!C638,'Step 4 Stage Discharge'!E$26:E$126,1),1))</f>
        <v>4.3639431710317386E-3</v>
      </c>
      <c r="F638" s="218">
        <f t="shared" si="45"/>
        <v>0</v>
      </c>
      <c r="G638" s="218">
        <f t="shared" si="46"/>
        <v>0</v>
      </c>
    </row>
    <row r="639" spans="1:7">
      <c r="A639" s="217">
        <f t="shared" si="47"/>
        <v>3115</v>
      </c>
      <c r="B639" s="216">
        <f t="shared" si="48"/>
        <v>99.1</v>
      </c>
      <c r="C639" s="218">
        <f t="shared" si="49"/>
        <v>0</v>
      </c>
      <c r="D639" s="219">
        <f>INDEX('Step 4 Stage Discharge'!E$26:F$126,MATCH(C639,'Step 4 Stage Discharge'!E$26:E$126,1),2)+(INDEX('Step 4 Stage Discharge'!E$26:F$126,MATCH(C639,'Step 4 Stage Discharge'!E$26:E$126,1)+1,2)-INDEX('Step 4 Stage Discharge'!E$26:F$126,MATCH(C639,'Step 4 Stage Discharge'!E$26:E$126,1),2))*(C639-INDEX('Step 4 Stage Discharge'!E$26:F$126,MATCH(C639,'Step 4 Stage Discharge'!E$26:E$126,1),1))/(INDEX('Step 4 Stage Discharge'!E$26:F$126,MATCH(C639,'Step 4 Stage Discharge'!E$26:E$126,1)+1,1)-INDEX('Step 4 Stage Discharge'!E$26:F$126,MATCH(C639,'Step 4 Stage Discharge'!E$26:E$126,1),1))</f>
        <v>0</v>
      </c>
      <c r="E639" s="219">
        <f>INDEX('Step 4 Stage Discharge'!E$26:M$126,MATCH(C639,'Step 4 Stage Discharge'!E$26:E$126,1),9)+(INDEX('Step 4 Stage Discharge'!E$26:M$126,MATCH('Step 6 Quality Check'!C639,'Step 4 Stage Discharge'!E$26:E$126,1)+1,9)-INDEX('Step 4 Stage Discharge'!E$26:M$126,MATCH('Step 6 Quality Check'!C639,'Step 4 Stage Discharge'!E$26:E$126,1),9))*('Step 6 Quality Check'!C639-INDEX('Step 4 Stage Discharge'!E$26:M$126,MATCH('Step 6 Quality Check'!C639,'Step 4 Stage Discharge'!E$26:E$126,1),1))/(INDEX('Step 4 Stage Discharge'!E$26:M$126,MATCH('Step 6 Quality Check'!C639,'Step 4 Stage Discharge'!E$26:E$126,1)+1,1)-INDEX('Step 4 Stage Discharge'!E$26:M$126,MATCH('Step 6 Quality Check'!C639,'Step 4 Stage Discharge'!E$26:E$126,1),1))</f>
        <v>4.3639431710317386E-3</v>
      </c>
      <c r="F639" s="218">
        <f t="shared" si="45"/>
        <v>0</v>
      </c>
      <c r="G639" s="218">
        <f t="shared" si="46"/>
        <v>0</v>
      </c>
    </row>
    <row r="640" spans="1:7">
      <c r="A640" s="217">
        <f t="shared" si="47"/>
        <v>3120</v>
      </c>
      <c r="B640" s="216">
        <f t="shared" si="48"/>
        <v>99.1</v>
      </c>
      <c r="C640" s="218">
        <f t="shared" si="49"/>
        <v>0</v>
      </c>
      <c r="D640" s="219">
        <f>INDEX('Step 4 Stage Discharge'!E$26:F$126,MATCH(C640,'Step 4 Stage Discharge'!E$26:E$126,1),2)+(INDEX('Step 4 Stage Discharge'!E$26:F$126,MATCH(C640,'Step 4 Stage Discharge'!E$26:E$126,1)+1,2)-INDEX('Step 4 Stage Discharge'!E$26:F$126,MATCH(C640,'Step 4 Stage Discharge'!E$26:E$126,1),2))*(C640-INDEX('Step 4 Stage Discharge'!E$26:F$126,MATCH(C640,'Step 4 Stage Discharge'!E$26:E$126,1),1))/(INDEX('Step 4 Stage Discharge'!E$26:F$126,MATCH(C640,'Step 4 Stage Discharge'!E$26:E$126,1)+1,1)-INDEX('Step 4 Stage Discharge'!E$26:F$126,MATCH(C640,'Step 4 Stage Discharge'!E$26:E$126,1),1))</f>
        <v>0</v>
      </c>
      <c r="E640" s="219">
        <f>INDEX('Step 4 Stage Discharge'!E$26:M$126,MATCH(C640,'Step 4 Stage Discharge'!E$26:E$126,1),9)+(INDEX('Step 4 Stage Discharge'!E$26:M$126,MATCH('Step 6 Quality Check'!C640,'Step 4 Stage Discharge'!E$26:E$126,1)+1,9)-INDEX('Step 4 Stage Discharge'!E$26:M$126,MATCH('Step 6 Quality Check'!C640,'Step 4 Stage Discharge'!E$26:E$126,1),9))*('Step 6 Quality Check'!C640-INDEX('Step 4 Stage Discharge'!E$26:M$126,MATCH('Step 6 Quality Check'!C640,'Step 4 Stage Discharge'!E$26:E$126,1),1))/(INDEX('Step 4 Stage Discharge'!E$26:M$126,MATCH('Step 6 Quality Check'!C640,'Step 4 Stage Discharge'!E$26:E$126,1)+1,1)-INDEX('Step 4 Stage Discharge'!E$26:M$126,MATCH('Step 6 Quality Check'!C640,'Step 4 Stage Discharge'!E$26:E$126,1),1))</f>
        <v>4.3639431710317386E-3</v>
      </c>
      <c r="F640" s="218">
        <f t="shared" si="45"/>
        <v>0</v>
      </c>
      <c r="G640" s="218">
        <f t="shared" si="46"/>
        <v>0</v>
      </c>
    </row>
    <row r="641" spans="1:7">
      <c r="A641" s="217">
        <f t="shared" si="47"/>
        <v>3125</v>
      </c>
      <c r="B641" s="216">
        <f t="shared" si="48"/>
        <v>99.1</v>
      </c>
      <c r="C641" s="218">
        <f t="shared" si="49"/>
        <v>0</v>
      </c>
      <c r="D641" s="219">
        <f>INDEX('Step 4 Stage Discharge'!E$26:F$126,MATCH(C641,'Step 4 Stage Discharge'!E$26:E$126,1),2)+(INDEX('Step 4 Stage Discharge'!E$26:F$126,MATCH(C641,'Step 4 Stage Discharge'!E$26:E$126,1)+1,2)-INDEX('Step 4 Stage Discharge'!E$26:F$126,MATCH(C641,'Step 4 Stage Discharge'!E$26:E$126,1),2))*(C641-INDEX('Step 4 Stage Discharge'!E$26:F$126,MATCH(C641,'Step 4 Stage Discharge'!E$26:E$126,1),1))/(INDEX('Step 4 Stage Discharge'!E$26:F$126,MATCH(C641,'Step 4 Stage Discharge'!E$26:E$126,1)+1,1)-INDEX('Step 4 Stage Discharge'!E$26:F$126,MATCH(C641,'Step 4 Stage Discharge'!E$26:E$126,1),1))</f>
        <v>0</v>
      </c>
      <c r="E641" s="219">
        <f>INDEX('Step 4 Stage Discharge'!E$26:M$126,MATCH(C641,'Step 4 Stage Discharge'!E$26:E$126,1),9)+(INDEX('Step 4 Stage Discharge'!E$26:M$126,MATCH('Step 6 Quality Check'!C641,'Step 4 Stage Discharge'!E$26:E$126,1)+1,9)-INDEX('Step 4 Stage Discharge'!E$26:M$126,MATCH('Step 6 Quality Check'!C641,'Step 4 Stage Discharge'!E$26:E$126,1),9))*('Step 6 Quality Check'!C641-INDEX('Step 4 Stage Discharge'!E$26:M$126,MATCH('Step 6 Quality Check'!C641,'Step 4 Stage Discharge'!E$26:E$126,1),1))/(INDEX('Step 4 Stage Discharge'!E$26:M$126,MATCH('Step 6 Quality Check'!C641,'Step 4 Stage Discharge'!E$26:E$126,1)+1,1)-INDEX('Step 4 Stage Discharge'!E$26:M$126,MATCH('Step 6 Quality Check'!C641,'Step 4 Stage Discharge'!E$26:E$126,1),1))</f>
        <v>4.3639431710317386E-3</v>
      </c>
      <c r="F641" s="218">
        <f t="shared" si="45"/>
        <v>0</v>
      </c>
      <c r="G641" s="218">
        <f t="shared" si="46"/>
        <v>0</v>
      </c>
    </row>
    <row r="642" spans="1:7">
      <c r="A642" s="217">
        <f t="shared" si="47"/>
        <v>3130</v>
      </c>
      <c r="B642" s="216">
        <f t="shared" si="48"/>
        <v>99.1</v>
      </c>
      <c r="C642" s="218">
        <f t="shared" si="49"/>
        <v>0</v>
      </c>
      <c r="D642" s="219">
        <f>INDEX('Step 4 Stage Discharge'!E$26:F$126,MATCH(C642,'Step 4 Stage Discharge'!E$26:E$126,1),2)+(INDEX('Step 4 Stage Discharge'!E$26:F$126,MATCH(C642,'Step 4 Stage Discharge'!E$26:E$126,1)+1,2)-INDEX('Step 4 Stage Discharge'!E$26:F$126,MATCH(C642,'Step 4 Stage Discharge'!E$26:E$126,1),2))*(C642-INDEX('Step 4 Stage Discharge'!E$26:F$126,MATCH(C642,'Step 4 Stage Discharge'!E$26:E$126,1),1))/(INDEX('Step 4 Stage Discharge'!E$26:F$126,MATCH(C642,'Step 4 Stage Discharge'!E$26:E$126,1)+1,1)-INDEX('Step 4 Stage Discharge'!E$26:F$126,MATCH(C642,'Step 4 Stage Discharge'!E$26:E$126,1),1))</f>
        <v>0</v>
      </c>
      <c r="E642" s="219">
        <f>INDEX('Step 4 Stage Discharge'!E$26:M$126,MATCH(C642,'Step 4 Stage Discharge'!E$26:E$126,1),9)+(INDEX('Step 4 Stage Discharge'!E$26:M$126,MATCH('Step 6 Quality Check'!C642,'Step 4 Stage Discharge'!E$26:E$126,1)+1,9)-INDEX('Step 4 Stage Discharge'!E$26:M$126,MATCH('Step 6 Quality Check'!C642,'Step 4 Stage Discharge'!E$26:E$126,1),9))*('Step 6 Quality Check'!C642-INDEX('Step 4 Stage Discharge'!E$26:M$126,MATCH('Step 6 Quality Check'!C642,'Step 4 Stage Discharge'!E$26:E$126,1),1))/(INDEX('Step 4 Stage Discharge'!E$26:M$126,MATCH('Step 6 Quality Check'!C642,'Step 4 Stage Discharge'!E$26:E$126,1)+1,1)-INDEX('Step 4 Stage Discharge'!E$26:M$126,MATCH('Step 6 Quality Check'!C642,'Step 4 Stage Discharge'!E$26:E$126,1),1))</f>
        <v>4.3639431710317386E-3</v>
      </c>
      <c r="F642" s="218">
        <f t="shared" si="45"/>
        <v>0</v>
      </c>
      <c r="G642" s="218">
        <f t="shared" si="46"/>
        <v>0</v>
      </c>
    </row>
    <row r="643" spans="1:7">
      <c r="A643" s="217">
        <f t="shared" si="47"/>
        <v>3135</v>
      </c>
      <c r="B643" s="216">
        <f t="shared" si="48"/>
        <v>99.1</v>
      </c>
      <c r="C643" s="218">
        <f t="shared" si="49"/>
        <v>0</v>
      </c>
      <c r="D643" s="219">
        <f>INDEX('Step 4 Stage Discharge'!E$26:F$126,MATCH(C643,'Step 4 Stage Discharge'!E$26:E$126,1),2)+(INDEX('Step 4 Stage Discharge'!E$26:F$126,MATCH(C643,'Step 4 Stage Discharge'!E$26:E$126,1)+1,2)-INDEX('Step 4 Stage Discharge'!E$26:F$126,MATCH(C643,'Step 4 Stage Discharge'!E$26:E$126,1),2))*(C643-INDEX('Step 4 Stage Discharge'!E$26:F$126,MATCH(C643,'Step 4 Stage Discharge'!E$26:E$126,1),1))/(INDEX('Step 4 Stage Discharge'!E$26:F$126,MATCH(C643,'Step 4 Stage Discharge'!E$26:E$126,1)+1,1)-INDEX('Step 4 Stage Discharge'!E$26:F$126,MATCH(C643,'Step 4 Stage Discharge'!E$26:E$126,1),1))</f>
        <v>0</v>
      </c>
      <c r="E643" s="219">
        <f>INDEX('Step 4 Stage Discharge'!E$26:M$126,MATCH(C643,'Step 4 Stage Discharge'!E$26:E$126,1),9)+(INDEX('Step 4 Stage Discharge'!E$26:M$126,MATCH('Step 6 Quality Check'!C643,'Step 4 Stage Discharge'!E$26:E$126,1)+1,9)-INDEX('Step 4 Stage Discharge'!E$26:M$126,MATCH('Step 6 Quality Check'!C643,'Step 4 Stage Discharge'!E$26:E$126,1),9))*('Step 6 Quality Check'!C643-INDEX('Step 4 Stage Discharge'!E$26:M$126,MATCH('Step 6 Quality Check'!C643,'Step 4 Stage Discharge'!E$26:E$126,1),1))/(INDEX('Step 4 Stage Discharge'!E$26:M$126,MATCH('Step 6 Quality Check'!C643,'Step 4 Stage Discharge'!E$26:E$126,1)+1,1)-INDEX('Step 4 Stage Discharge'!E$26:M$126,MATCH('Step 6 Quality Check'!C643,'Step 4 Stage Discharge'!E$26:E$126,1),1))</f>
        <v>4.3639431710317386E-3</v>
      </c>
      <c r="F643" s="218">
        <f t="shared" si="45"/>
        <v>0</v>
      </c>
      <c r="G643" s="218">
        <f t="shared" si="46"/>
        <v>0</v>
      </c>
    </row>
    <row r="644" spans="1:7">
      <c r="A644" s="217">
        <f t="shared" si="47"/>
        <v>3140</v>
      </c>
      <c r="B644" s="216">
        <f t="shared" si="48"/>
        <v>99.1</v>
      </c>
      <c r="C644" s="218">
        <f t="shared" si="49"/>
        <v>0</v>
      </c>
      <c r="D644" s="219">
        <f>INDEX('Step 4 Stage Discharge'!E$26:F$126,MATCH(C644,'Step 4 Stage Discharge'!E$26:E$126,1),2)+(INDEX('Step 4 Stage Discharge'!E$26:F$126,MATCH(C644,'Step 4 Stage Discharge'!E$26:E$126,1)+1,2)-INDEX('Step 4 Stage Discharge'!E$26:F$126,MATCH(C644,'Step 4 Stage Discharge'!E$26:E$126,1),2))*(C644-INDEX('Step 4 Stage Discharge'!E$26:F$126,MATCH(C644,'Step 4 Stage Discharge'!E$26:E$126,1),1))/(INDEX('Step 4 Stage Discharge'!E$26:F$126,MATCH(C644,'Step 4 Stage Discharge'!E$26:E$126,1)+1,1)-INDEX('Step 4 Stage Discharge'!E$26:F$126,MATCH(C644,'Step 4 Stage Discharge'!E$26:E$126,1),1))</f>
        <v>0</v>
      </c>
      <c r="E644" s="219">
        <f>INDEX('Step 4 Stage Discharge'!E$26:M$126,MATCH(C644,'Step 4 Stage Discharge'!E$26:E$126,1),9)+(INDEX('Step 4 Stage Discharge'!E$26:M$126,MATCH('Step 6 Quality Check'!C644,'Step 4 Stage Discharge'!E$26:E$126,1)+1,9)-INDEX('Step 4 Stage Discharge'!E$26:M$126,MATCH('Step 6 Quality Check'!C644,'Step 4 Stage Discharge'!E$26:E$126,1),9))*('Step 6 Quality Check'!C644-INDEX('Step 4 Stage Discharge'!E$26:M$126,MATCH('Step 6 Quality Check'!C644,'Step 4 Stage Discharge'!E$26:E$126,1),1))/(INDEX('Step 4 Stage Discharge'!E$26:M$126,MATCH('Step 6 Quality Check'!C644,'Step 4 Stage Discharge'!E$26:E$126,1)+1,1)-INDEX('Step 4 Stage Discharge'!E$26:M$126,MATCH('Step 6 Quality Check'!C644,'Step 4 Stage Discharge'!E$26:E$126,1),1))</f>
        <v>4.3639431710317386E-3</v>
      </c>
      <c r="F644" s="218">
        <f t="shared" si="45"/>
        <v>0</v>
      </c>
      <c r="G644" s="218">
        <f t="shared" si="46"/>
        <v>0</v>
      </c>
    </row>
    <row r="645" spans="1:7">
      <c r="A645" s="217">
        <f t="shared" si="47"/>
        <v>3145</v>
      </c>
      <c r="B645" s="216">
        <f t="shared" si="48"/>
        <v>99.1</v>
      </c>
      <c r="C645" s="218">
        <f t="shared" si="49"/>
        <v>0</v>
      </c>
      <c r="D645" s="219">
        <f>INDEX('Step 4 Stage Discharge'!E$26:F$126,MATCH(C645,'Step 4 Stage Discharge'!E$26:E$126,1),2)+(INDEX('Step 4 Stage Discharge'!E$26:F$126,MATCH(C645,'Step 4 Stage Discharge'!E$26:E$126,1)+1,2)-INDEX('Step 4 Stage Discharge'!E$26:F$126,MATCH(C645,'Step 4 Stage Discharge'!E$26:E$126,1),2))*(C645-INDEX('Step 4 Stage Discharge'!E$26:F$126,MATCH(C645,'Step 4 Stage Discharge'!E$26:E$126,1),1))/(INDEX('Step 4 Stage Discharge'!E$26:F$126,MATCH(C645,'Step 4 Stage Discharge'!E$26:E$126,1)+1,1)-INDEX('Step 4 Stage Discharge'!E$26:F$126,MATCH(C645,'Step 4 Stage Discharge'!E$26:E$126,1),1))</f>
        <v>0</v>
      </c>
      <c r="E645" s="219">
        <f>INDEX('Step 4 Stage Discharge'!E$26:M$126,MATCH(C645,'Step 4 Stage Discharge'!E$26:E$126,1),9)+(INDEX('Step 4 Stage Discharge'!E$26:M$126,MATCH('Step 6 Quality Check'!C645,'Step 4 Stage Discharge'!E$26:E$126,1)+1,9)-INDEX('Step 4 Stage Discharge'!E$26:M$126,MATCH('Step 6 Quality Check'!C645,'Step 4 Stage Discharge'!E$26:E$126,1),9))*('Step 6 Quality Check'!C645-INDEX('Step 4 Stage Discharge'!E$26:M$126,MATCH('Step 6 Quality Check'!C645,'Step 4 Stage Discharge'!E$26:E$126,1),1))/(INDEX('Step 4 Stage Discharge'!E$26:M$126,MATCH('Step 6 Quality Check'!C645,'Step 4 Stage Discharge'!E$26:E$126,1)+1,1)-INDEX('Step 4 Stage Discharge'!E$26:M$126,MATCH('Step 6 Quality Check'!C645,'Step 4 Stage Discharge'!E$26:E$126,1),1))</f>
        <v>4.3639431710317386E-3</v>
      </c>
      <c r="F645" s="218">
        <f t="shared" si="45"/>
        <v>0</v>
      </c>
      <c r="G645" s="218">
        <f t="shared" si="46"/>
        <v>0</v>
      </c>
    </row>
    <row r="646" spans="1:7">
      <c r="A646" s="217">
        <f t="shared" si="47"/>
        <v>3150</v>
      </c>
      <c r="B646" s="216">
        <f t="shared" si="48"/>
        <v>99.1</v>
      </c>
      <c r="C646" s="218">
        <f t="shared" si="49"/>
        <v>0</v>
      </c>
      <c r="D646" s="219">
        <f>INDEX('Step 4 Stage Discharge'!E$26:F$126,MATCH(C646,'Step 4 Stage Discharge'!E$26:E$126,1),2)+(INDEX('Step 4 Stage Discharge'!E$26:F$126,MATCH(C646,'Step 4 Stage Discharge'!E$26:E$126,1)+1,2)-INDEX('Step 4 Stage Discharge'!E$26:F$126,MATCH(C646,'Step 4 Stage Discharge'!E$26:E$126,1),2))*(C646-INDEX('Step 4 Stage Discharge'!E$26:F$126,MATCH(C646,'Step 4 Stage Discharge'!E$26:E$126,1),1))/(INDEX('Step 4 Stage Discharge'!E$26:F$126,MATCH(C646,'Step 4 Stage Discharge'!E$26:E$126,1)+1,1)-INDEX('Step 4 Stage Discharge'!E$26:F$126,MATCH(C646,'Step 4 Stage Discharge'!E$26:E$126,1),1))</f>
        <v>0</v>
      </c>
      <c r="E646" s="219">
        <f>INDEX('Step 4 Stage Discharge'!E$26:M$126,MATCH(C646,'Step 4 Stage Discharge'!E$26:E$126,1),9)+(INDEX('Step 4 Stage Discharge'!E$26:M$126,MATCH('Step 6 Quality Check'!C646,'Step 4 Stage Discharge'!E$26:E$126,1)+1,9)-INDEX('Step 4 Stage Discharge'!E$26:M$126,MATCH('Step 6 Quality Check'!C646,'Step 4 Stage Discharge'!E$26:E$126,1),9))*('Step 6 Quality Check'!C646-INDEX('Step 4 Stage Discharge'!E$26:M$126,MATCH('Step 6 Quality Check'!C646,'Step 4 Stage Discharge'!E$26:E$126,1),1))/(INDEX('Step 4 Stage Discharge'!E$26:M$126,MATCH('Step 6 Quality Check'!C646,'Step 4 Stage Discharge'!E$26:E$126,1)+1,1)-INDEX('Step 4 Stage Discharge'!E$26:M$126,MATCH('Step 6 Quality Check'!C646,'Step 4 Stage Discharge'!E$26:E$126,1),1))</f>
        <v>4.3639431710317386E-3</v>
      </c>
      <c r="F646" s="218">
        <f t="shared" si="45"/>
        <v>0</v>
      </c>
      <c r="G646" s="218">
        <f t="shared" si="46"/>
        <v>0</v>
      </c>
    </row>
    <row r="647" spans="1:7">
      <c r="A647" s="217">
        <f t="shared" si="47"/>
        <v>3155</v>
      </c>
      <c r="B647" s="216">
        <f t="shared" si="48"/>
        <v>99.1</v>
      </c>
      <c r="C647" s="218">
        <f t="shared" si="49"/>
        <v>0</v>
      </c>
      <c r="D647" s="219">
        <f>INDEX('Step 4 Stage Discharge'!E$26:F$126,MATCH(C647,'Step 4 Stage Discharge'!E$26:E$126,1),2)+(INDEX('Step 4 Stage Discharge'!E$26:F$126,MATCH(C647,'Step 4 Stage Discharge'!E$26:E$126,1)+1,2)-INDEX('Step 4 Stage Discharge'!E$26:F$126,MATCH(C647,'Step 4 Stage Discharge'!E$26:E$126,1),2))*(C647-INDEX('Step 4 Stage Discharge'!E$26:F$126,MATCH(C647,'Step 4 Stage Discharge'!E$26:E$126,1),1))/(INDEX('Step 4 Stage Discharge'!E$26:F$126,MATCH(C647,'Step 4 Stage Discharge'!E$26:E$126,1)+1,1)-INDEX('Step 4 Stage Discharge'!E$26:F$126,MATCH(C647,'Step 4 Stage Discharge'!E$26:E$126,1),1))</f>
        <v>0</v>
      </c>
      <c r="E647" s="219">
        <f>INDEX('Step 4 Stage Discharge'!E$26:M$126,MATCH(C647,'Step 4 Stage Discharge'!E$26:E$126,1),9)+(INDEX('Step 4 Stage Discharge'!E$26:M$126,MATCH('Step 6 Quality Check'!C647,'Step 4 Stage Discharge'!E$26:E$126,1)+1,9)-INDEX('Step 4 Stage Discharge'!E$26:M$126,MATCH('Step 6 Quality Check'!C647,'Step 4 Stage Discharge'!E$26:E$126,1),9))*('Step 6 Quality Check'!C647-INDEX('Step 4 Stage Discharge'!E$26:M$126,MATCH('Step 6 Quality Check'!C647,'Step 4 Stage Discharge'!E$26:E$126,1),1))/(INDEX('Step 4 Stage Discharge'!E$26:M$126,MATCH('Step 6 Quality Check'!C647,'Step 4 Stage Discharge'!E$26:E$126,1)+1,1)-INDEX('Step 4 Stage Discharge'!E$26:M$126,MATCH('Step 6 Quality Check'!C647,'Step 4 Stage Discharge'!E$26:E$126,1),1))</f>
        <v>4.3639431710317386E-3</v>
      </c>
      <c r="F647" s="218">
        <f t="shared" si="45"/>
        <v>0</v>
      </c>
      <c r="G647" s="218">
        <f t="shared" si="46"/>
        <v>0</v>
      </c>
    </row>
    <row r="648" spans="1:7">
      <c r="A648" s="217">
        <f t="shared" si="47"/>
        <v>3160</v>
      </c>
      <c r="B648" s="216">
        <f t="shared" si="48"/>
        <v>99.1</v>
      </c>
      <c r="C648" s="218">
        <f t="shared" si="49"/>
        <v>0</v>
      </c>
      <c r="D648" s="219">
        <f>INDEX('Step 4 Stage Discharge'!E$26:F$126,MATCH(C648,'Step 4 Stage Discharge'!E$26:E$126,1),2)+(INDEX('Step 4 Stage Discharge'!E$26:F$126,MATCH(C648,'Step 4 Stage Discharge'!E$26:E$126,1)+1,2)-INDEX('Step 4 Stage Discharge'!E$26:F$126,MATCH(C648,'Step 4 Stage Discharge'!E$26:E$126,1),2))*(C648-INDEX('Step 4 Stage Discharge'!E$26:F$126,MATCH(C648,'Step 4 Stage Discharge'!E$26:E$126,1),1))/(INDEX('Step 4 Stage Discharge'!E$26:F$126,MATCH(C648,'Step 4 Stage Discharge'!E$26:E$126,1)+1,1)-INDEX('Step 4 Stage Discharge'!E$26:F$126,MATCH(C648,'Step 4 Stage Discharge'!E$26:E$126,1),1))</f>
        <v>0</v>
      </c>
      <c r="E648" s="219">
        <f>INDEX('Step 4 Stage Discharge'!E$26:M$126,MATCH(C648,'Step 4 Stage Discharge'!E$26:E$126,1),9)+(INDEX('Step 4 Stage Discharge'!E$26:M$126,MATCH('Step 6 Quality Check'!C648,'Step 4 Stage Discharge'!E$26:E$126,1)+1,9)-INDEX('Step 4 Stage Discharge'!E$26:M$126,MATCH('Step 6 Quality Check'!C648,'Step 4 Stage Discharge'!E$26:E$126,1),9))*('Step 6 Quality Check'!C648-INDEX('Step 4 Stage Discharge'!E$26:M$126,MATCH('Step 6 Quality Check'!C648,'Step 4 Stage Discharge'!E$26:E$126,1),1))/(INDEX('Step 4 Stage Discharge'!E$26:M$126,MATCH('Step 6 Quality Check'!C648,'Step 4 Stage Discharge'!E$26:E$126,1)+1,1)-INDEX('Step 4 Stage Discharge'!E$26:M$126,MATCH('Step 6 Quality Check'!C648,'Step 4 Stage Discharge'!E$26:E$126,1),1))</f>
        <v>4.3639431710317386E-3</v>
      </c>
      <c r="F648" s="218">
        <f t="shared" si="45"/>
        <v>0</v>
      </c>
      <c r="G648" s="218">
        <f t="shared" si="46"/>
        <v>0</v>
      </c>
    </row>
    <row r="649" spans="1:7">
      <c r="A649" s="217">
        <f t="shared" si="47"/>
        <v>3165</v>
      </c>
      <c r="B649" s="216">
        <f t="shared" si="48"/>
        <v>99.1</v>
      </c>
      <c r="C649" s="218">
        <f t="shared" si="49"/>
        <v>0</v>
      </c>
      <c r="D649" s="219">
        <f>INDEX('Step 4 Stage Discharge'!E$26:F$126,MATCH(C649,'Step 4 Stage Discharge'!E$26:E$126,1),2)+(INDEX('Step 4 Stage Discharge'!E$26:F$126,MATCH(C649,'Step 4 Stage Discharge'!E$26:E$126,1)+1,2)-INDEX('Step 4 Stage Discharge'!E$26:F$126,MATCH(C649,'Step 4 Stage Discharge'!E$26:E$126,1),2))*(C649-INDEX('Step 4 Stage Discharge'!E$26:F$126,MATCH(C649,'Step 4 Stage Discharge'!E$26:E$126,1),1))/(INDEX('Step 4 Stage Discharge'!E$26:F$126,MATCH(C649,'Step 4 Stage Discharge'!E$26:E$126,1)+1,1)-INDEX('Step 4 Stage Discharge'!E$26:F$126,MATCH(C649,'Step 4 Stage Discharge'!E$26:E$126,1),1))</f>
        <v>0</v>
      </c>
      <c r="E649" s="219">
        <f>INDEX('Step 4 Stage Discharge'!E$26:M$126,MATCH(C649,'Step 4 Stage Discharge'!E$26:E$126,1),9)+(INDEX('Step 4 Stage Discharge'!E$26:M$126,MATCH('Step 6 Quality Check'!C649,'Step 4 Stage Discharge'!E$26:E$126,1)+1,9)-INDEX('Step 4 Stage Discharge'!E$26:M$126,MATCH('Step 6 Quality Check'!C649,'Step 4 Stage Discharge'!E$26:E$126,1),9))*('Step 6 Quality Check'!C649-INDEX('Step 4 Stage Discharge'!E$26:M$126,MATCH('Step 6 Quality Check'!C649,'Step 4 Stage Discharge'!E$26:E$126,1),1))/(INDEX('Step 4 Stage Discharge'!E$26:M$126,MATCH('Step 6 Quality Check'!C649,'Step 4 Stage Discharge'!E$26:E$126,1)+1,1)-INDEX('Step 4 Stage Discharge'!E$26:M$126,MATCH('Step 6 Quality Check'!C649,'Step 4 Stage Discharge'!E$26:E$126,1),1))</f>
        <v>4.3639431710317386E-3</v>
      </c>
      <c r="F649" s="218">
        <f t="shared" si="45"/>
        <v>0</v>
      </c>
      <c r="G649" s="218">
        <f t="shared" si="46"/>
        <v>0</v>
      </c>
    </row>
    <row r="650" spans="1:7">
      <c r="A650" s="217">
        <f t="shared" si="47"/>
        <v>3170</v>
      </c>
      <c r="B650" s="216">
        <f t="shared" si="48"/>
        <v>99.1</v>
      </c>
      <c r="C650" s="218">
        <f t="shared" si="49"/>
        <v>0</v>
      </c>
      <c r="D650" s="219">
        <f>INDEX('Step 4 Stage Discharge'!E$26:F$126,MATCH(C650,'Step 4 Stage Discharge'!E$26:E$126,1),2)+(INDEX('Step 4 Stage Discharge'!E$26:F$126,MATCH(C650,'Step 4 Stage Discharge'!E$26:E$126,1)+1,2)-INDEX('Step 4 Stage Discharge'!E$26:F$126,MATCH(C650,'Step 4 Stage Discharge'!E$26:E$126,1),2))*(C650-INDEX('Step 4 Stage Discharge'!E$26:F$126,MATCH(C650,'Step 4 Stage Discharge'!E$26:E$126,1),1))/(INDEX('Step 4 Stage Discharge'!E$26:F$126,MATCH(C650,'Step 4 Stage Discharge'!E$26:E$126,1)+1,1)-INDEX('Step 4 Stage Discharge'!E$26:F$126,MATCH(C650,'Step 4 Stage Discharge'!E$26:E$126,1),1))</f>
        <v>0</v>
      </c>
      <c r="E650" s="219">
        <f>INDEX('Step 4 Stage Discharge'!E$26:M$126,MATCH(C650,'Step 4 Stage Discharge'!E$26:E$126,1),9)+(INDEX('Step 4 Stage Discharge'!E$26:M$126,MATCH('Step 6 Quality Check'!C650,'Step 4 Stage Discharge'!E$26:E$126,1)+1,9)-INDEX('Step 4 Stage Discharge'!E$26:M$126,MATCH('Step 6 Quality Check'!C650,'Step 4 Stage Discharge'!E$26:E$126,1),9))*('Step 6 Quality Check'!C650-INDEX('Step 4 Stage Discharge'!E$26:M$126,MATCH('Step 6 Quality Check'!C650,'Step 4 Stage Discharge'!E$26:E$126,1),1))/(INDEX('Step 4 Stage Discharge'!E$26:M$126,MATCH('Step 6 Quality Check'!C650,'Step 4 Stage Discharge'!E$26:E$126,1)+1,1)-INDEX('Step 4 Stage Discharge'!E$26:M$126,MATCH('Step 6 Quality Check'!C650,'Step 4 Stage Discharge'!E$26:E$126,1),1))</f>
        <v>4.3639431710317386E-3</v>
      </c>
      <c r="F650" s="218">
        <f t="shared" si="45"/>
        <v>0</v>
      </c>
      <c r="G650" s="218">
        <f t="shared" si="46"/>
        <v>0</v>
      </c>
    </row>
    <row r="651" spans="1:7">
      <c r="A651" s="217">
        <f t="shared" si="47"/>
        <v>3175</v>
      </c>
      <c r="B651" s="216">
        <f t="shared" si="48"/>
        <v>99.1</v>
      </c>
      <c r="C651" s="218">
        <f t="shared" si="49"/>
        <v>0</v>
      </c>
      <c r="D651" s="219">
        <f>INDEX('Step 4 Stage Discharge'!E$26:F$126,MATCH(C651,'Step 4 Stage Discharge'!E$26:E$126,1),2)+(INDEX('Step 4 Stage Discharge'!E$26:F$126,MATCH(C651,'Step 4 Stage Discharge'!E$26:E$126,1)+1,2)-INDEX('Step 4 Stage Discharge'!E$26:F$126,MATCH(C651,'Step 4 Stage Discharge'!E$26:E$126,1),2))*(C651-INDEX('Step 4 Stage Discharge'!E$26:F$126,MATCH(C651,'Step 4 Stage Discharge'!E$26:E$126,1),1))/(INDEX('Step 4 Stage Discharge'!E$26:F$126,MATCH(C651,'Step 4 Stage Discharge'!E$26:E$126,1)+1,1)-INDEX('Step 4 Stage Discharge'!E$26:F$126,MATCH(C651,'Step 4 Stage Discharge'!E$26:E$126,1),1))</f>
        <v>0</v>
      </c>
      <c r="E651" s="219">
        <f>INDEX('Step 4 Stage Discharge'!E$26:M$126,MATCH(C651,'Step 4 Stage Discharge'!E$26:E$126,1),9)+(INDEX('Step 4 Stage Discharge'!E$26:M$126,MATCH('Step 6 Quality Check'!C651,'Step 4 Stage Discharge'!E$26:E$126,1)+1,9)-INDEX('Step 4 Stage Discharge'!E$26:M$126,MATCH('Step 6 Quality Check'!C651,'Step 4 Stage Discharge'!E$26:E$126,1),9))*('Step 6 Quality Check'!C651-INDEX('Step 4 Stage Discharge'!E$26:M$126,MATCH('Step 6 Quality Check'!C651,'Step 4 Stage Discharge'!E$26:E$126,1),1))/(INDEX('Step 4 Stage Discharge'!E$26:M$126,MATCH('Step 6 Quality Check'!C651,'Step 4 Stage Discharge'!E$26:E$126,1)+1,1)-INDEX('Step 4 Stage Discharge'!E$26:M$126,MATCH('Step 6 Quality Check'!C651,'Step 4 Stage Discharge'!E$26:E$126,1),1))</f>
        <v>4.3639431710317386E-3</v>
      </c>
      <c r="F651" s="218">
        <f t="shared" si="45"/>
        <v>0</v>
      </c>
      <c r="G651" s="218">
        <f t="shared" si="46"/>
        <v>0</v>
      </c>
    </row>
    <row r="652" spans="1:7">
      <c r="A652" s="217">
        <f t="shared" si="47"/>
        <v>3180</v>
      </c>
      <c r="B652" s="216">
        <f t="shared" si="48"/>
        <v>99.1</v>
      </c>
      <c r="C652" s="218">
        <f t="shared" si="49"/>
        <v>0</v>
      </c>
      <c r="D652" s="219">
        <f>INDEX('Step 4 Stage Discharge'!E$26:F$126,MATCH(C652,'Step 4 Stage Discharge'!E$26:E$126,1),2)+(INDEX('Step 4 Stage Discharge'!E$26:F$126,MATCH(C652,'Step 4 Stage Discharge'!E$26:E$126,1)+1,2)-INDEX('Step 4 Stage Discharge'!E$26:F$126,MATCH(C652,'Step 4 Stage Discharge'!E$26:E$126,1),2))*(C652-INDEX('Step 4 Stage Discharge'!E$26:F$126,MATCH(C652,'Step 4 Stage Discharge'!E$26:E$126,1),1))/(INDEX('Step 4 Stage Discharge'!E$26:F$126,MATCH(C652,'Step 4 Stage Discharge'!E$26:E$126,1)+1,1)-INDEX('Step 4 Stage Discharge'!E$26:F$126,MATCH(C652,'Step 4 Stage Discharge'!E$26:E$126,1),1))</f>
        <v>0</v>
      </c>
      <c r="E652" s="219">
        <f>INDEX('Step 4 Stage Discharge'!E$26:M$126,MATCH(C652,'Step 4 Stage Discharge'!E$26:E$126,1),9)+(INDEX('Step 4 Stage Discharge'!E$26:M$126,MATCH('Step 6 Quality Check'!C652,'Step 4 Stage Discharge'!E$26:E$126,1)+1,9)-INDEX('Step 4 Stage Discharge'!E$26:M$126,MATCH('Step 6 Quality Check'!C652,'Step 4 Stage Discharge'!E$26:E$126,1),9))*('Step 6 Quality Check'!C652-INDEX('Step 4 Stage Discharge'!E$26:M$126,MATCH('Step 6 Quality Check'!C652,'Step 4 Stage Discharge'!E$26:E$126,1),1))/(INDEX('Step 4 Stage Discharge'!E$26:M$126,MATCH('Step 6 Quality Check'!C652,'Step 4 Stage Discharge'!E$26:E$126,1)+1,1)-INDEX('Step 4 Stage Discharge'!E$26:M$126,MATCH('Step 6 Quality Check'!C652,'Step 4 Stage Discharge'!E$26:E$126,1),1))</f>
        <v>4.3639431710317386E-3</v>
      </c>
      <c r="F652" s="218">
        <f t="shared" si="45"/>
        <v>0</v>
      </c>
      <c r="G652" s="218">
        <f t="shared" si="46"/>
        <v>0</v>
      </c>
    </row>
    <row r="653" spans="1:7">
      <c r="A653" s="217">
        <f t="shared" si="47"/>
        <v>3185</v>
      </c>
      <c r="B653" s="216">
        <f t="shared" si="48"/>
        <v>99.1</v>
      </c>
      <c r="C653" s="218">
        <f t="shared" si="49"/>
        <v>0</v>
      </c>
      <c r="D653" s="219">
        <f>INDEX('Step 4 Stage Discharge'!E$26:F$126,MATCH(C653,'Step 4 Stage Discharge'!E$26:E$126,1),2)+(INDEX('Step 4 Stage Discharge'!E$26:F$126,MATCH(C653,'Step 4 Stage Discharge'!E$26:E$126,1)+1,2)-INDEX('Step 4 Stage Discharge'!E$26:F$126,MATCH(C653,'Step 4 Stage Discharge'!E$26:E$126,1),2))*(C653-INDEX('Step 4 Stage Discharge'!E$26:F$126,MATCH(C653,'Step 4 Stage Discharge'!E$26:E$126,1),1))/(INDEX('Step 4 Stage Discharge'!E$26:F$126,MATCH(C653,'Step 4 Stage Discharge'!E$26:E$126,1)+1,1)-INDEX('Step 4 Stage Discharge'!E$26:F$126,MATCH(C653,'Step 4 Stage Discharge'!E$26:E$126,1),1))</f>
        <v>0</v>
      </c>
      <c r="E653" s="219">
        <f>INDEX('Step 4 Stage Discharge'!E$26:M$126,MATCH(C653,'Step 4 Stage Discharge'!E$26:E$126,1),9)+(INDEX('Step 4 Stage Discharge'!E$26:M$126,MATCH('Step 6 Quality Check'!C653,'Step 4 Stage Discharge'!E$26:E$126,1)+1,9)-INDEX('Step 4 Stage Discharge'!E$26:M$126,MATCH('Step 6 Quality Check'!C653,'Step 4 Stage Discharge'!E$26:E$126,1),9))*('Step 6 Quality Check'!C653-INDEX('Step 4 Stage Discharge'!E$26:M$126,MATCH('Step 6 Quality Check'!C653,'Step 4 Stage Discharge'!E$26:E$126,1),1))/(INDEX('Step 4 Stage Discharge'!E$26:M$126,MATCH('Step 6 Quality Check'!C653,'Step 4 Stage Discharge'!E$26:E$126,1)+1,1)-INDEX('Step 4 Stage Discharge'!E$26:M$126,MATCH('Step 6 Quality Check'!C653,'Step 4 Stage Discharge'!E$26:E$126,1),1))</f>
        <v>4.3639431710317386E-3</v>
      </c>
      <c r="F653" s="218">
        <f t="shared" si="45"/>
        <v>0</v>
      </c>
      <c r="G653" s="218">
        <f t="shared" si="46"/>
        <v>0</v>
      </c>
    </row>
    <row r="654" spans="1:7">
      <c r="A654" s="217">
        <f t="shared" si="47"/>
        <v>3190</v>
      </c>
      <c r="B654" s="216">
        <f t="shared" si="48"/>
        <v>99.1</v>
      </c>
      <c r="C654" s="218">
        <f t="shared" si="49"/>
        <v>0</v>
      </c>
      <c r="D654" s="219">
        <f>INDEX('Step 4 Stage Discharge'!E$26:F$126,MATCH(C654,'Step 4 Stage Discharge'!E$26:E$126,1),2)+(INDEX('Step 4 Stage Discharge'!E$26:F$126,MATCH(C654,'Step 4 Stage Discharge'!E$26:E$126,1)+1,2)-INDEX('Step 4 Stage Discharge'!E$26:F$126,MATCH(C654,'Step 4 Stage Discharge'!E$26:E$126,1),2))*(C654-INDEX('Step 4 Stage Discharge'!E$26:F$126,MATCH(C654,'Step 4 Stage Discharge'!E$26:E$126,1),1))/(INDEX('Step 4 Stage Discharge'!E$26:F$126,MATCH(C654,'Step 4 Stage Discharge'!E$26:E$126,1)+1,1)-INDEX('Step 4 Stage Discharge'!E$26:F$126,MATCH(C654,'Step 4 Stage Discharge'!E$26:E$126,1),1))</f>
        <v>0</v>
      </c>
      <c r="E654" s="219">
        <f>INDEX('Step 4 Stage Discharge'!E$26:M$126,MATCH(C654,'Step 4 Stage Discharge'!E$26:E$126,1),9)+(INDEX('Step 4 Stage Discharge'!E$26:M$126,MATCH('Step 6 Quality Check'!C654,'Step 4 Stage Discharge'!E$26:E$126,1)+1,9)-INDEX('Step 4 Stage Discharge'!E$26:M$126,MATCH('Step 6 Quality Check'!C654,'Step 4 Stage Discharge'!E$26:E$126,1),9))*('Step 6 Quality Check'!C654-INDEX('Step 4 Stage Discharge'!E$26:M$126,MATCH('Step 6 Quality Check'!C654,'Step 4 Stage Discharge'!E$26:E$126,1),1))/(INDEX('Step 4 Stage Discharge'!E$26:M$126,MATCH('Step 6 Quality Check'!C654,'Step 4 Stage Discharge'!E$26:E$126,1)+1,1)-INDEX('Step 4 Stage Discharge'!E$26:M$126,MATCH('Step 6 Quality Check'!C654,'Step 4 Stage Discharge'!E$26:E$126,1),1))</f>
        <v>4.3639431710317386E-3</v>
      </c>
      <c r="F654" s="218">
        <f t="shared" si="45"/>
        <v>0</v>
      </c>
      <c r="G654" s="218">
        <f t="shared" si="46"/>
        <v>0</v>
      </c>
    </row>
    <row r="655" spans="1:7">
      <c r="A655" s="217">
        <f t="shared" si="47"/>
        <v>3195</v>
      </c>
      <c r="B655" s="216">
        <f t="shared" si="48"/>
        <v>99.1</v>
      </c>
      <c r="C655" s="218">
        <f t="shared" si="49"/>
        <v>0</v>
      </c>
      <c r="D655" s="219">
        <f>INDEX('Step 4 Stage Discharge'!E$26:F$126,MATCH(C655,'Step 4 Stage Discharge'!E$26:E$126,1),2)+(INDEX('Step 4 Stage Discharge'!E$26:F$126,MATCH(C655,'Step 4 Stage Discharge'!E$26:E$126,1)+1,2)-INDEX('Step 4 Stage Discharge'!E$26:F$126,MATCH(C655,'Step 4 Stage Discharge'!E$26:E$126,1),2))*(C655-INDEX('Step 4 Stage Discharge'!E$26:F$126,MATCH(C655,'Step 4 Stage Discharge'!E$26:E$126,1),1))/(INDEX('Step 4 Stage Discharge'!E$26:F$126,MATCH(C655,'Step 4 Stage Discharge'!E$26:E$126,1)+1,1)-INDEX('Step 4 Stage Discharge'!E$26:F$126,MATCH(C655,'Step 4 Stage Discharge'!E$26:E$126,1),1))</f>
        <v>0</v>
      </c>
      <c r="E655" s="219">
        <f>INDEX('Step 4 Stage Discharge'!E$26:M$126,MATCH(C655,'Step 4 Stage Discharge'!E$26:E$126,1),9)+(INDEX('Step 4 Stage Discharge'!E$26:M$126,MATCH('Step 6 Quality Check'!C655,'Step 4 Stage Discharge'!E$26:E$126,1)+1,9)-INDEX('Step 4 Stage Discharge'!E$26:M$126,MATCH('Step 6 Quality Check'!C655,'Step 4 Stage Discharge'!E$26:E$126,1),9))*('Step 6 Quality Check'!C655-INDEX('Step 4 Stage Discharge'!E$26:M$126,MATCH('Step 6 Quality Check'!C655,'Step 4 Stage Discharge'!E$26:E$126,1),1))/(INDEX('Step 4 Stage Discharge'!E$26:M$126,MATCH('Step 6 Quality Check'!C655,'Step 4 Stage Discharge'!E$26:E$126,1)+1,1)-INDEX('Step 4 Stage Discharge'!E$26:M$126,MATCH('Step 6 Quality Check'!C655,'Step 4 Stage Discharge'!E$26:E$126,1),1))</f>
        <v>4.3639431710317386E-3</v>
      </c>
      <c r="F655" s="218">
        <f t="shared" si="45"/>
        <v>0</v>
      </c>
      <c r="G655" s="218">
        <f t="shared" si="46"/>
        <v>0</v>
      </c>
    </row>
    <row r="656" spans="1:7">
      <c r="A656" s="217">
        <f t="shared" si="47"/>
        <v>3200</v>
      </c>
      <c r="B656" s="216">
        <f t="shared" si="48"/>
        <v>99.1</v>
      </c>
      <c r="C656" s="218">
        <f t="shared" si="49"/>
        <v>0</v>
      </c>
      <c r="D656" s="219">
        <f>INDEX('Step 4 Stage Discharge'!E$26:F$126,MATCH(C656,'Step 4 Stage Discharge'!E$26:E$126,1),2)+(INDEX('Step 4 Stage Discharge'!E$26:F$126,MATCH(C656,'Step 4 Stage Discharge'!E$26:E$126,1)+1,2)-INDEX('Step 4 Stage Discharge'!E$26:F$126,MATCH(C656,'Step 4 Stage Discharge'!E$26:E$126,1),2))*(C656-INDEX('Step 4 Stage Discharge'!E$26:F$126,MATCH(C656,'Step 4 Stage Discharge'!E$26:E$126,1),1))/(INDEX('Step 4 Stage Discharge'!E$26:F$126,MATCH(C656,'Step 4 Stage Discharge'!E$26:E$126,1)+1,1)-INDEX('Step 4 Stage Discharge'!E$26:F$126,MATCH(C656,'Step 4 Stage Discharge'!E$26:E$126,1),1))</f>
        <v>0</v>
      </c>
      <c r="E656" s="219">
        <f>INDEX('Step 4 Stage Discharge'!E$26:M$126,MATCH(C656,'Step 4 Stage Discharge'!E$26:E$126,1),9)+(INDEX('Step 4 Stage Discharge'!E$26:M$126,MATCH('Step 6 Quality Check'!C656,'Step 4 Stage Discharge'!E$26:E$126,1)+1,9)-INDEX('Step 4 Stage Discharge'!E$26:M$126,MATCH('Step 6 Quality Check'!C656,'Step 4 Stage Discharge'!E$26:E$126,1),9))*('Step 6 Quality Check'!C656-INDEX('Step 4 Stage Discharge'!E$26:M$126,MATCH('Step 6 Quality Check'!C656,'Step 4 Stage Discharge'!E$26:E$126,1),1))/(INDEX('Step 4 Stage Discharge'!E$26:M$126,MATCH('Step 6 Quality Check'!C656,'Step 4 Stage Discharge'!E$26:E$126,1)+1,1)-INDEX('Step 4 Stage Discharge'!E$26:M$126,MATCH('Step 6 Quality Check'!C656,'Step 4 Stage Discharge'!E$26:E$126,1),1))</f>
        <v>4.3639431710317386E-3</v>
      </c>
      <c r="F656" s="218">
        <f t="shared" ref="F656:F719" si="50">IF(E656*60*C$9&gt;C656,C656,E656*60*C$9)</f>
        <v>0</v>
      </c>
      <c r="G656" s="218">
        <f t="shared" ref="G656:G719" si="51">IF(C656-F656&lt;0,0,C656-F656)</f>
        <v>0</v>
      </c>
    </row>
    <row r="657" spans="1:7">
      <c r="A657" s="217">
        <f t="shared" ref="A657:A720" si="52">+A656+C$9</f>
        <v>3205</v>
      </c>
      <c r="B657" s="216">
        <f t="shared" si="48"/>
        <v>99.1</v>
      </c>
      <c r="C657" s="218">
        <f t="shared" si="49"/>
        <v>0</v>
      </c>
      <c r="D657" s="219">
        <f>INDEX('Step 4 Stage Discharge'!E$26:F$126,MATCH(C657,'Step 4 Stage Discharge'!E$26:E$126,1),2)+(INDEX('Step 4 Stage Discharge'!E$26:F$126,MATCH(C657,'Step 4 Stage Discharge'!E$26:E$126,1)+1,2)-INDEX('Step 4 Stage Discharge'!E$26:F$126,MATCH(C657,'Step 4 Stage Discharge'!E$26:E$126,1),2))*(C657-INDEX('Step 4 Stage Discharge'!E$26:F$126,MATCH(C657,'Step 4 Stage Discharge'!E$26:E$126,1),1))/(INDEX('Step 4 Stage Discharge'!E$26:F$126,MATCH(C657,'Step 4 Stage Discharge'!E$26:E$126,1)+1,1)-INDEX('Step 4 Stage Discharge'!E$26:F$126,MATCH(C657,'Step 4 Stage Discharge'!E$26:E$126,1),1))</f>
        <v>0</v>
      </c>
      <c r="E657" s="219">
        <f>INDEX('Step 4 Stage Discharge'!E$26:M$126,MATCH(C657,'Step 4 Stage Discharge'!E$26:E$126,1),9)+(INDEX('Step 4 Stage Discharge'!E$26:M$126,MATCH('Step 6 Quality Check'!C657,'Step 4 Stage Discharge'!E$26:E$126,1)+1,9)-INDEX('Step 4 Stage Discharge'!E$26:M$126,MATCH('Step 6 Quality Check'!C657,'Step 4 Stage Discharge'!E$26:E$126,1),9))*('Step 6 Quality Check'!C657-INDEX('Step 4 Stage Discharge'!E$26:M$126,MATCH('Step 6 Quality Check'!C657,'Step 4 Stage Discharge'!E$26:E$126,1),1))/(INDEX('Step 4 Stage Discharge'!E$26:M$126,MATCH('Step 6 Quality Check'!C657,'Step 4 Stage Discharge'!E$26:E$126,1)+1,1)-INDEX('Step 4 Stage Discharge'!E$26:M$126,MATCH('Step 6 Quality Check'!C657,'Step 4 Stage Discharge'!E$26:E$126,1),1))</f>
        <v>4.3639431710317386E-3</v>
      </c>
      <c r="F657" s="218">
        <f t="shared" si="50"/>
        <v>0</v>
      </c>
      <c r="G657" s="218">
        <f t="shared" si="51"/>
        <v>0</v>
      </c>
    </row>
    <row r="658" spans="1:7">
      <c r="A658" s="217">
        <f t="shared" si="52"/>
        <v>3210</v>
      </c>
      <c r="B658" s="216">
        <f t="shared" ref="B658:B721" si="53">C$6+D658</f>
        <v>99.1</v>
      </c>
      <c r="C658" s="218">
        <f t="shared" ref="C658:C721" si="54">+G657</f>
        <v>0</v>
      </c>
      <c r="D658" s="219">
        <f>INDEX('Step 4 Stage Discharge'!E$26:F$126,MATCH(C658,'Step 4 Stage Discharge'!E$26:E$126,1),2)+(INDEX('Step 4 Stage Discharge'!E$26:F$126,MATCH(C658,'Step 4 Stage Discharge'!E$26:E$126,1)+1,2)-INDEX('Step 4 Stage Discharge'!E$26:F$126,MATCH(C658,'Step 4 Stage Discharge'!E$26:E$126,1),2))*(C658-INDEX('Step 4 Stage Discharge'!E$26:F$126,MATCH(C658,'Step 4 Stage Discharge'!E$26:E$126,1),1))/(INDEX('Step 4 Stage Discharge'!E$26:F$126,MATCH(C658,'Step 4 Stage Discharge'!E$26:E$126,1)+1,1)-INDEX('Step 4 Stage Discharge'!E$26:F$126,MATCH(C658,'Step 4 Stage Discharge'!E$26:E$126,1),1))</f>
        <v>0</v>
      </c>
      <c r="E658" s="219">
        <f>INDEX('Step 4 Stage Discharge'!E$26:M$126,MATCH(C658,'Step 4 Stage Discharge'!E$26:E$126,1),9)+(INDEX('Step 4 Stage Discharge'!E$26:M$126,MATCH('Step 6 Quality Check'!C658,'Step 4 Stage Discharge'!E$26:E$126,1)+1,9)-INDEX('Step 4 Stage Discharge'!E$26:M$126,MATCH('Step 6 Quality Check'!C658,'Step 4 Stage Discharge'!E$26:E$126,1),9))*('Step 6 Quality Check'!C658-INDEX('Step 4 Stage Discharge'!E$26:M$126,MATCH('Step 6 Quality Check'!C658,'Step 4 Stage Discharge'!E$26:E$126,1),1))/(INDEX('Step 4 Stage Discharge'!E$26:M$126,MATCH('Step 6 Quality Check'!C658,'Step 4 Stage Discharge'!E$26:E$126,1)+1,1)-INDEX('Step 4 Stage Discharge'!E$26:M$126,MATCH('Step 6 Quality Check'!C658,'Step 4 Stage Discharge'!E$26:E$126,1),1))</f>
        <v>4.3639431710317386E-3</v>
      </c>
      <c r="F658" s="218">
        <f t="shared" si="50"/>
        <v>0</v>
      </c>
      <c r="G658" s="218">
        <f t="shared" si="51"/>
        <v>0</v>
      </c>
    </row>
    <row r="659" spans="1:7">
      <c r="A659" s="217">
        <f t="shared" si="52"/>
        <v>3215</v>
      </c>
      <c r="B659" s="216">
        <f t="shared" si="53"/>
        <v>99.1</v>
      </c>
      <c r="C659" s="218">
        <f t="shared" si="54"/>
        <v>0</v>
      </c>
      <c r="D659" s="219">
        <f>INDEX('Step 4 Stage Discharge'!E$26:F$126,MATCH(C659,'Step 4 Stage Discharge'!E$26:E$126,1),2)+(INDEX('Step 4 Stage Discharge'!E$26:F$126,MATCH(C659,'Step 4 Stage Discharge'!E$26:E$126,1)+1,2)-INDEX('Step 4 Stage Discharge'!E$26:F$126,MATCH(C659,'Step 4 Stage Discharge'!E$26:E$126,1),2))*(C659-INDEX('Step 4 Stage Discharge'!E$26:F$126,MATCH(C659,'Step 4 Stage Discharge'!E$26:E$126,1),1))/(INDEX('Step 4 Stage Discharge'!E$26:F$126,MATCH(C659,'Step 4 Stage Discharge'!E$26:E$126,1)+1,1)-INDEX('Step 4 Stage Discharge'!E$26:F$126,MATCH(C659,'Step 4 Stage Discharge'!E$26:E$126,1),1))</f>
        <v>0</v>
      </c>
      <c r="E659" s="219">
        <f>INDEX('Step 4 Stage Discharge'!E$26:M$126,MATCH(C659,'Step 4 Stage Discharge'!E$26:E$126,1),9)+(INDEX('Step 4 Stage Discharge'!E$26:M$126,MATCH('Step 6 Quality Check'!C659,'Step 4 Stage Discharge'!E$26:E$126,1)+1,9)-INDEX('Step 4 Stage Discharge'!E$26:M$126,MATCH('Step 6 Quality Check'!C659,'Step 4 Stage Discharge'!E$26:E$126,1),9))*('Step 6 Quality Check'!C659-INDEX('Step 4 Stage Discharge'!E$26:M$126,MATCH('Step 6 Quality Check'!C659,'Step 4 Stage Discharge'!E$26:E$126,1),1))/(INDEX('Step 4 Stage Discharge'!E$26:M$126,MATCH('Step 6 Quality Check'!C659,'Step 4 Stage Discharge'!E$26:E$126,1)+1,1)-INDEX('Step 4 Stage Discharge'!E$26:M$126,MATCH('Step 6 Quality Check'!C659,'Step 4 Stage Discharge'!E$26:E$126,1),1))</f>
        <v>4.3639431710317386E-3</v>
      </c>
      <c r="F659" s="218">
        <f t="shared" si="50"/>
        <v>0</v>
      </c>
      <c r="G659" s="218">
        <f t="shared" si="51"/>
        <v>0</v>
      </c>
    </row>
    <row r="660" spans="1:7">
      <c r="A660" s="217">
        <f t="shared" si="52"/>
        <v>3220</v>
      </c>
      <c r="B660" s="216">
        <f t="shared" si="53"/>
        <v>99.1</v>
      </c>
      <c r="C660" s="218">
        <f t="shared" si="54"/>
        <v>0</v>
      </c>
      <c r="D660" s="219">
        <f>INDEX('Step 4 Stage Discharge'!E$26:F$126,MATCH(C660,'Step 4 Stage Discharge'!E$26:E$126,1),2)+(INDEX('Step 4 Stage Discharge'!E$26:F$126,MATCH(C660,'Step 4 Stage Discharge'!E$26:E$126,1)+1,2)-INDEX('Step 4 Stage Discharge'!E$26:F$126,MATCH(C660,'Step 4 Stage Discharge'!E$26:E$126,1),2))*(C660-INDEX('Step 4 Stage Discharge'!E$26:F$126,MATCH(C660,'Step 4 Stage Discharge'!E$26:E$126,1),1))/(INDEX('Step 4 Stage Discharge'!E$26:F$126,MATCH(C660,'Step 4 Stage Discharge'!E$26:E$126,1)+1,1)-INDEX('Step 4 Stage Discharge'!E$26:F$126,MATCH(C660,'Step 4 Stage Discharge'!E$26:E$126,1),1))</f>
        <v>0</v>
      </c>
      <c r="E660" s="219">
        <f>INDEX('Step 4 Stage Discharge'!E$26:M$126,MATCH(C660,'Step 4 Stage Discharge'!E$26:E$126,1),9)+(INDEX('Step 4 Stage Discharge'!E$26:M$126,MATCH('Step 6 Quality Check'!C660,'Step 4 Stage Discharge'!E$26:E$126,1)+1,9)-INDEX('Step 4 Stage Discharge'!E$26:M$126,MATCH('Step 6 Quality Check'!C660,'Step 4 Stage Discharge'!E$26:E$126,1),9))*('Step 6 Quality Check'!C660-INDEX('Step 4 Stage Discharge'!E$26:M$126,MATCH('Step 6 Quality Check'!C660,'Step 4 Stage Discharge'!E$26:E$126,1),1))/(INDEX('Step 4 Stage Discharge'!E$26:M$126,MATCH('Step 6 Quality Check'!C660,'Step 4 Stage Discharge'!E$26:E$126,1)+1,1)-INDEX('Step 4 Stage Discharge'!E$26:M$126,MATCH('Step 6 Quality Check'!C660,'Step 4 Stage Discharge'!E$26:E$126,1),1))</f>
        <v>4.3639431710317386E-3</v>
      </c>
      <c r="F660" s="218">
        <f t="shared" si="50"/>
        <v>0</v>
      </c>
      <c r="G660" s="218">
        <f t="shared" si="51"/>
        <v>0</v>
      </c>
    </row>
    <row r="661" spans="1:7">
      <c r="A661" s="217">
        <f t="shared" si="52"/>
        <v>3225</v>
      </c>
      <c r="B661" s="216">
        <f t="shared" si="53"/>
        <v>99.1</v>
      </c>
      <c r="C661" s="218">
        <f t="shared" si="54"/>
        <v>0</v>
      </c>
      <c r="D661" s="219">
        <f>INDEX('Step 4 Stage Discharge'!E$26:F$126,MATCH(C661,'Step 4 Stage Discharge'!E$26:E$126,1),2)+(INDEX('Step 4 Stage Discharge'!E$26:F$126,MATCH(C661,'Step 4 Stage Discharge'!E$26:E$126,1)+1,2)-INDEX('Step 4 Stage Discharge'!E$26:F$126,MATCH(C661,'Step 4 Stage Discharge'!E$26:E$126,1),2))*(C661-INDEX('Step 4 Stage Discharge'!E$26:F$126,MATCH(C661,'Step 4 Stage Discharge'!E$26:E$126,1),1))/(INDEX('Step 4 Stage Discharge'!E$26:F$126,MATCH(C661,'Step 4 Stage Discharge'!E$26:E$126,1)+1,1)-INDEX('Step 4 Stage Discharge'!E$26:F$126,MATCH(C661,'Step 4 Stage Discharge'!E$26:E$126,1),1))</f>
        <v>0</v>
      </c>
      <c r="E661" s="219">
        <f>INDEX('Step 4 Stage Discharge'!E$26:M$126,MATCH(C661,'Step 4 Stage Discharge'!E$26:E$126,1),9)+(INDEX('Step 4 Stage Discharge'!E$26:M$126,MATCH('Step 6 Quality Check'!C661,'Step 4 Stage Discharge'!E$26:E$126,1)+1,9)-INDEX('Step 4 Stage Discharge'!E$26:M$126,MATCH('Step 6 Quality Check'!C661,'Step 4 Stage Discharge'!E$26:E$126,1),9))*('Step 6 Quality Check'!C661-INDEX('Step 4 Stage Discharge'!E$26:M$126,MATCH('Step 6 Quality Check'!C661,'Step 4 Stage Discharge'!E$26:E$126,1),1))/(INDEX('Step 4 Stage Discharge'!E$26:M$126,MATCH('Step 6 Quality Check'!C661,'Step 4 Stage Discharge'!E$26:E$126,1)+1,1)-INDEX('Step 4 Stage Discharge'!E$26:M$126,MATCH('Step 6 Quality Check'!C661,'Step 4 Stage Discharge'!E$26:E$126,1),1))</f>
        <v>4.3639431710317386E-3</v>
      </c>
      <c r="F661" s="218">
        <f t="shared" si="50"/>
        <v>0</v>
      </c>
      <c r="G661" s="218">
        <f t="shared" si="51"/>
        <v>0</v>
      </c>
    </row>
    <row r="662" spans="1:7">
      <c r="A662" s="217">
        <f t="shared" si="52"/>
        <v>3230</v>
      </c>
      <c r="B662" s="216">
        <f t="shared" si="53"/>
        <v>99.1</v>
      </c>
      <c r="C662" s="218">
        <f t="shared" si="54"/>
        <v>0</v>
      </c>
      <c r="D662" s="219">
        <f>INDEX('Step 4 Stage Discharge'!E$26:F$126,MATCH(C662,'Step 4 Stage Discharge'!E$26:E$126,1),2)+(INDEX('Step 4 Stage Discharge'!E$26:F$126,MATCH(C662,'Step 4 Stage Discharge'!E$26:E$126,1)+1,2)-INDEX('Step 4 Stage Discharge'!E$26:F$126,MATCH(C662,'Step 4 Stage Discharge'!E$26:E$126,1),2))*(C662-INDEX('Step 4 Stage Discharge'!E$26:F$126,MATCH(C662,'Step 4 Stage Discharge'!E$26:E$126,1),1))/(INDEX('Step 4 Stage Discharge'!E$26:F$126,MATCH(C662,'Step 4 Stage Discharge'!E$26:E$126,1)+1,1)-INDEX('Step 4 Stage Discharge'!E$26:F$126,MATCH(C662,'Step 4 Stage Discharge'!E$26:E$126,1),1))</f>
        <v>0</v>
      </c>
      <c r="E662" s="219">
        <f>INDEX('Step 4 Stage Discharge'!E$26:M$126,MATCH(C662,'Step 4 Stage Discharge'!E$26:E$126,1),9)+(INDEX('Step 4 Stage Discharge'!E$26:M$126,MATCH('Step 6 Quality Check'!C662,'Step 4 Stage Discharge'!E$26:E$126,1)+1,9)-INDEX('Step 4 Stage Discharge'!E$26:M$126,MATCH('Step 6 Quality Check'!C662,'Step 4 Stage Discharge'!E$26:E$126,1),9))*('Step 6 Quality Check'!C662-INDEX('Step 4 Stage Discharge'!E$26:M$126,MATCH('Step 6 Quality Check'!C662,'Step 4 Stage Discharge'!E$26:E$126,1),1))/(INDEX('Step 4 Stage Discharge'!E$26:M$126,MATCH('Step 6 Quality Check'!C662,'Step 4 Stage Discharge'!E$26:E$126,1)+1,1)-INDEX('Step 4 Stage Discharge'!E$26:M$126,MATCH('Step 6 Quality Check'!C662,'Step 4 Stage Discharge'!E$26:E$126,1),1))</f>
        <v>4.3639431710317386E-3</v>
      </c>
      <c r="F662" s="218">
        <f t="shared" si="50"/>
        <v>0</v>
      </c>
      <c r="G662" s="218">
        <f t="shared" si="51"/>
        <v>0</v>
      </c>
    </row>
    <row r="663" spans="1:7">
      <c r="A663" s="217">
        <f t="shared" si="52"/>
        <v>3235</v>
      </c>
      <c r="B663" s="216">
        <f t="shared" si="53"/>
        <v>99.1</v>
      </c>
      <c r="C663" s="218">
        <f t="shared" si="54"/>
        <v>0</v>
      </c>
      <c r="D663" s="219">
        <f>INDEX('Step 4 Stage Discharge'!E$26:F$126,MATCH(C663,'Step 4 Stage Discharge'!E$26:E$126,1),2)+(INDEX('Step 4 Stage Discharge'!E$26:F$126,MATCH(C663,'Step 4 Stage Discharge'!E$26:E$126,1)+1,2)-INDEX('Step 4 Stage Discharge'!E$26:F$126,MATCH(C663,'Step 4 Stage Discharge'!E$26:E$126,1),2))*(C663-INDEX('Step 4 Stage Discharge'!E$26:F$126,MATCH(C663,'Step 4 Stage Discharge'!E$26:E$126,1),1))/(INDEX('Step 4 Stage Discharge'!E$26:F$126,MATCH(C663,'Step 4 Stage Discharge'!E$26:E$126,1)+1,1)-INDEX('Step 4 Stage Discharge'!E$26:F$126,MATCH(C663,'Step 4 Stage Discharge'!E$26:E$126,1),1))</f>
        <v>0</v>
      </c>
      <c r="E663" s="219">
        <f>INDEX('Step 4 Stage Discharge'!E$26:M$126,MATCH(C663,'Step 4 Stage Discharge'!E$26:E$126,1),9)+(INDEX('Step 4 Stage Discharge'!E$26:M$126,MATCH('Step 6 Quality Check'!C663,'Step 4 Stage Discharge'!E$26:E$126,1)+1,9)-INDEX('Step 4 Stage Discharge'!E$26:M$126,MATCH('Step 6 Quality Check'!C663,'Step 4 Stage Discharge'!E$26:E$126,1),9))*('Step 6 Quality Check'!C663-INDEX('Step 4 Stage Discharge'!E$26:M$126,MATCH('Step 6 Quality Check'!C663,'Step 4 Stage Discharge'!E$26:E$126,1),1))/(INDEX('Step 4 Stage Discharge'!E$26:M$126,MATCH('Step 6 Quality Check'!C663,'Step 4 Stage Discharge'!E$26:E$126,1)+1,1)-INDEX('Step 4 Stage Discharge'!E$26:M$126,MATCH('Step 6 Quality Check'!C663,'Step 4 Stage Discharge'!E$26:E$126,1),1))</f>
        <v>4.3639431710317386E-3</v>
      </c>
      <c r="F663" s="218">
        <f t="shared" si="50"/>
        <v>0</v>
      </c>
      <c r="G663" s="218">
        <f t="shared" si="51"/>
        <v>0</v>
      </c>
    </row>
    <row r="664" spans="1:7">
      <c r="A664" s="217">
        <f t="shared" si="52"/>
        <v>3240</v>
      </c>
      <c r="B664" s="216">
        <f t="shared" si="53"/>
        <v>99.1</v>
      </c>
      <c r="C664" s="218">
        <f t="shared" si="54"/>
        <v>0</v>
      </c>
      <c r="D664" s="219">
        <f>INDEX('Step 4 Stage Discharge'!E$26:F$126,MATCH(C664,'Step 4 Stage Discharge'!E$26:E$126,1),2)+(INDEX('Step 4 Stage Discharge'!E$26:F$126,MATCH(C664,'Step 4 Stage Discharge'!E$26:E$126,1)+1,2)-INDEX('Step 4 Stage Discharge'!E$26:F$126,MATCH(C664,'Step 4 Stage Discharge'!E$26:E$126,1),2))*(C664-INDEX('Step 4 Stage Discharge'!E$26:F$126,MATCH(C664,'Step 4 Stage Discharge'!E$26:E$126,1),1))/(INDEX('Step 4 Stage Discharge'!E$26:F$126,MATCH(C664,'Step 4 Stage Discharge'!E$26:E$126,1)+1,1)-INDEX('Step 4 Stage Discharge'!E$26:F$126,MATCH(C664,'Step 4 Stage Discharge'!E$26:E$126,1),1))</f>
        <v>0</v>
      </c>
      <c r="E664" s="219">
        <f>INDEX('Step 4 Stage Discharge'!E$26:M$126,MATCH(C664,'Step 4 Stage Discharge'!E$26:E$126,1),9)+(INDEX('Step 4 Stage Discharge'!E$26:M$126,MATCH('Step 6 Quality Check'!C664,'Step 4 Stage Discharge'!E$26:E$126,1)+1,9)-INDEX('Step 4 Stage Discharge'!E$26:M$126,MATCH('Step 6 Quality Check'!C664,'Step 4 Stage Discharge'!E$26:E$126,1),9))*('Step 6 Quality Check'!C664-INDEX('Step 4 Stage Discharge'!E$26:M$126,MATCH('Step 6 Quality Check'!C664,'Step 4 Stage Discharge'!E$26:E$126,1),1))/(INDEX('Step 4 Stage Discharge'!E$26:M$126,MATCH('Step 6 Quality Check'!C664,'Step 4 Stage Discharge'!E$26:E$126,1)+1,1)-INDEX('Step 4 Stage Discharge'!E$26:M$126,MATCH('Step 6 Quality Check'!C664,'Step 4 Stage Discharge'!E$26:E$126,1),1))</f>
        <v>4.3639431710317386E-3</v>
      </c>
      <c r="F664" s="218">
        <f t="shared" si="50"/>
        <v>0</v>
      </c>
      <c r="G664" s="218">
        <f t="shared" si="51"/>
        <v>0</v>
      </c>
    </row>
    <row r="665" spans="1:7">
      <c r="A665" s="217">
        <f t="shared" si="52"/>
        <v>3245</v>
      </c>
      <c r="B665" s="216">
        <f t="shared" si="53"/>
        <v>99.1</v>
      </c>
      <c r="C665" s="218">
        <f t="shared" si="54"/>
        <v>0</v>
      </c>
      <c r="D665" s="219">
        <f>INDEX('Step 4 Stage Discharge'!E$26:F$126,MATCH(C665,'Step 4 Stage Discharge'!E$26:E$126,1),2)+(INDEX('Step 4 Stage Discharge'!E$26:F$126,MATCH(C665,'Step 4 Stage Discharge'!E$26:E$126,1)+1,2)-INDEX('Step 4 Stage Discharge'!E$26:F$126,MATCH(C665,'Step 4 Stage Discharge'!E$26:E$126,1),2))*(C665-INDEX('Step 4 Stage Discharge'!E$26:F$126,MATCH(C665,'Step 4 Stage Discharge'!E$26:E$126,1),1))/(INDEX('Step 4 Stage Discharge'!E$26:F$126,MATCH(C665,'Step 4 Stage Discharge'!E$26:E$126,1)+1,1)-INDEX('Step 4 Stage Discharge'!E$26:F$126,MATCH(C665,'Step 4 Stage Discharge'!E$26:E$126,1),1))</f>
        <v>0</v>
      </c>
      <c r="E665" s="219">
        <f>INDEX('Step 4 Stage Discharge'!E$26:M$126,MATCH(C665,'Step 4 Stage Discharge'!E$26:E$126,1),9)+(INDEX('Step 4 Stage Discharge'!E$26:M$126,MATCH('Step 6 Quality Check'!C665,'Step 4 Stage Discharge'!E$26:E$126,1)+1,9)-INDEX('Step 4 Stage Discharge'!E$26:M$126,MATCH('Step 6 Quality Check'!C665,'Step 4 Stage Discharge'!E$26:E$126,1),9))*('Step 6 Quality Check'!C665-INDEX('Step 4 Stage Discharge'!E$26:M$126,MATCH('Step 6 Quality Check'!C665,'Step 4 Stage Discharge'!E$26:E$126,1),1))/(INDEX('Step 4 Stage Discharge'!E$26:M$126,MATCH('Step 6 Quality Check'!C665,'Step 4 Stage Discharge'!E$26:E$126,1)+1,1)-INDEX('Step 4 Stage Discharge'!E$26:M$126,MATCH('Step 6 Quality Check'!C665,'Step 4 Stage Discharge'!E$26:E$126,1),1))</f>
        <v>4.3639431710317386E-3</v>
      </c>
      <c r="F665" s="218">
        <f t="shared" si="50"/>
        <v>0</v>
      </c>
      <c r="G665" s="218">
        <f t="shared" si="51"/>
        <v>0</v>
      </c>
    </row>
    <row r="666" spans="1:7">
      <c r="A666" s="217">
        <f t="shared" si="52"/>
        <v>3250</v>
      </c>
      <c r="B666" s="216">
        <f t="shared" si="53"/>
        <v>99.1</v>
      </c>
      <c r="C666" s="218">
        <f t="shared" si="54"/>
        <v>0</v>
      </c>
      <c r="D666" s="219">
        <f>INDEX('Step 4 Stage Discharge'!E$26:F$126,MATCH(C666,'Step 4 Stage Discharge'!E$26:E$126,1),2)+(INDEX('Step 4 Stage Discharge'!E$26:F$126,MATCH(C666,'Step 4 Stage Discharge'!E$26:E$126,1)+1,2)-INDEX('Step 4 Stage Discharge'!E$26:F$126,MATCH(C666,'Step 4 Stage Discharge'!E$26:E$126,1),2))*(C666-INDEX('Step 4 Stage Discharge'!E$26:F$126,MATCH(C666,'Step 4 Stage Discharge'!E$26:E$126,1),1))/(INDEX('Step 4 Stage Discharge'!E$26:F$126,MATCH(C666,'Step 4 Stage Discharge'!E$26:E$126,1)+1,1)-INDEX('Step 4 Stage Discharge'!E$26:F$126,MATCH(C666,'Step 4 Stage Discharge'!E$26:E$126,1),1))</f>
        <v>0</v>
      </c>
      <c r="E666" s="219">
        <f>INDEX('Step 4 Stage Discharge'!E$26:M$126,MATCH(C666,'Step 4 Stage Discharge'!E$26:E$126,1),9)+(INDEX('Step 4 Stage Discharge'!E$26:M$126,MATCH('Step 6 Quality Check'!C666,'Step 4 Stage Discharge'!E$26:E$126,1)+1,9)-INDEX('Step 4 Stage Discharge'!E$26:M$126,MATCH('Step 6 Quality Check'!C666,'Step 4 Stage Discharge'!E$26:E$126,1),9))*('Step 6 Quality Check'!C666-INDEX('Step 4 Stage Discharge'!E$26:M$126,MATCH('Step 6 Quality Check'!C666,'Step 4 Stage Discharge'!E$26:E$126,1),1))/(INDEX('Step 4 Stage Discharge'!E$26:M$126,MATCH('Step 6 Quality Check'!C666,'Step 4 Stage Discharge'!E$26:E$126,1)+1,1)-INDEX('Step 4 Stage Discharge'!E$26:M$126,MATCH('Step 6 Quality Check'!C666,'Step 4 Stage Discharge'!E$26:E$126,1),1))</f>
        <v>4.3639431710317386E-3</v>
      </c>
      <c r="F666" s="218">
        <f t="shared" si="50"/>
        <v>0</v>
      </c>
      <c r="G666" s="218">
        <f t="shared" si="51"/>
        <v>0</v>
      </c>
    </row>
    <row r="667" spans="1:7">
      <c r="A667" s="217">
        <f t="shared" si="52"/>
        <v>3255</v>
      </c>
      <c r="B667" s="216">
        <f t="shared" si="53"/>
        <v>99.1</v>
      </c>
      <c r="C667" s="218">
        <f t="shared" si="54"/>
        <v>0</v>
      </c>
      <c r="D667" s="219">
        <f>INDEX('Step 4 Stage Discharge'!E$26:F$126,MATCH(C667,'Step 4 Stage Discharge'!E$26:E$126,1),2)+(INDEX('Step 4 Stage Discharge'!E$26:F$126,MATCH(C667,'Step 4 Stage Discharge'!E$26:E$126,1)+1,2)-INDEX('Step 4 Stage Discharge'!E$26:F$126,MATCH(C667,'Step 4 Stage Discharge'!E$26:E$126,1),2))*(C667-INDEX('Step 4 Stage Discharge'!E$26:F$126,MATCH(C667,'Step 4 Stage Discharge'!E$26:E$126,1),1))/(INDEX('Step 4 Stage Discharge'!E$26:F$126,MATCH(C667,'Step 4 Stage Discharge'!E$26:E$126,1)+1,1)-INDEX('Step 4 Stage Discharge'!E$26:F$126,MATCH(C667,'Step 4 Stage Discharge'!E$26:E$126,1),1))</f>
        <v>0</v>
      </c>
      <c r="E667" s="219">
        <f>INDEX('Step 4 Stage Discharge'!E$26:M$126,MATCH(C667,'Step 4 Stage Discharge'!E$26:E$126,1),9)+(INDEX('Step 4 Stage Discharge'!E$26:M$126,MATCH('Step 6 Quality Check'!C667,'Step 4 Stage Discharge'!E$26:E$126,1)+1,9)-INDEX('Step 4 Stage Discharge'!E$26:M$126,MATCH('Step 6 Quality Check'!C667,'Step 4 Stage Discharge'!E$26:E$126,1),9))*('Step 6 Quality Check'!C667-INDEX('Step 4 Stage Discharge'!E$26:M$126,MATCH('Step 6 Quality Check'!C667,'Step 4 Stage Discharge'!E$26:E$126,1),1))/(INDEX('Step 4 Stage Discharge'!E$26:M$126,MATCH('Step 6 Quality Check'!C667,'Step 4 Stage Discharge'!E$26:E$126,1)+1,1)-INDEX('Step 4 Stage Discharge'!E$26:M$126,MATCH('Step 6 Quality Check'!C667,'Step 4 Stage Discharge'!E$26:E$126,1),1))</f>
        <v>4.3639431710317386E-3</v>
      </c>
      <c r="F667" s="218">
        <f t="shared" si="50"/>
        <v>0</v>
      </c>
      <c r="G667" s="218">
        <f t="shared" si="51"/>
        <v>0</v>
      </c>
    </row>
    <row r="668" spans="1:7">
      <c r="A668" s="217">
        <f t="shared" si="52"/>
        <v>3260</v>
      </c>
      <c r="B668" s="216">
        <f t="shared" si="53"/>
        <v>99.1</v>
      </c>
      <c r="C668" s="218">
        <f t="shared" si="54"/>
        <v>0</v>
      </c>
      <c r="D668" s="219">
        <f>INDEX('Step 4 Stage Discharge'!E$26:F$126,MATCH(C668,'Step 4 Stage Discharge'!E$26:E$126,1),2)+(INDEX('Step 4 Stage Discharge'!E$26:F$126,MATCH(C668,'Step 4 Stage Discharge'!E$26:E$126,1)+1,2)-INDEX('Step 4 Stage Discharge'!E$26:F$126,MATCH(C668,'Step 4 Stage Discharge'!E$26:E$126,1),2))*(C668-INDEX('Step 4 Stage Discharge'!E$26:F$126,MATCH(C668,'Step 4 Stage Discharge'!E$26:E$126,1),1))/(INDEX('Step 4 Stage Discharge'!E$26:F$126,MATCH(C668,'Step 4 Stage Discharge'!E$26:E$126,1)+1,1)-INDEX('Step 4 Stage Discharge'!E$26:F$126,MATCH(C668,'Step 4 Stage Discharge'!E$26:E$126,1),1))</f>
        <v>0</v>
      </c>
      <c r="E668" s="219">
        <f>INDEX('Step 4 Stage Discharge'!E$26:M$126,MATCH(C668,'Step 4 Stage Discharge'!E$26:E$126,1),9)+(INDEX('Step 4 Stage Discharge'!E$26:M$126,MATCH('Step 6 Quality Check'!C668,'Step 4 Stage Discharge'!E$26:E$126,1)+1,9)-INDEX('Step 4 Stage Discharge'!E$26:M$126,MATCH('Step 6 Quality Check'!C668,'Step 4 Stage Discharge'!E$26:E$126,1),9))*('Step 6 Quality Check'!C668-INDEX('Step 4 Stage Discharge'!E$26:M$126,MATCH('Step 6 Quality Check'!C668,'Step 4 Stage Discharge'!E$26:E$126,1),1))/(INDEX('Step 4 Stage Discharge'!E$26:M$126,MATCH('Step 6 Quality Check'!C668,'Step 4 Stage Discharge'!E$26:E$126,1)+1,1)-INDEX('Step 4 Stage Discharge'!E$26:M$126,MATCH('Step 6 Quality Check'!C668,'Step 4 Stage Discharge'!E$26:E$126,1),1))</f>
        <v>4.3639431710317386E-3</v>
      </c>
      <c r="F668" s="218">
        <f t="shared" si="50"/>
        <v>0</v>
      </c>
      <c r="G668" s="218">
        <f t="shared" si="51"/>
        <v>0</v>
      </c>
    </row>
    <row r="669" spans="1:7">
      <c r="A669" s="217">
        <f t="shared" si="52"/>
        <v>3265</v>
      </c>
      <c r="B669" s="216">
        <f t="shared" si="53"/>
        <v>99.1</v>
      </c>
      <c r="C669" s="218">
        <f t="shared" si="54"/>
        <v>0</v>
      </c>
      <c r="D669" s="219">
        <f>INDEX('Step 4 Stage Discharge'!E$26:F$126,MATCH(C669,'Step 4 Stage Discharge'!E$26:E$126,1),2)+(INDEX('Step 4 Stage Discharge'!E$26:F$126,MATCH(C669,'Step 4 Stage Discharge'!E$26:E$126,1)+1,2)-INDEX('Step 4 Stage Discharge'!E$26:F$126,MATCH(C669,'Step 4 Stage Discharge'!E$26:E$126,1),2))*(C669-INDEX('Step 4 Stage Discharge'!E$26:F$126,MATCH(C669,'Step 4 Stage Discharge'!E$26:E$126,1),1))/(INDEX('Step 4 Stage Discharge'!E$26:F$126,MATCH(C669,'Step 4 Stage Discharge'!E$26:E$126,1)+1,1)-INDEX('Step 4 Stage Discharge'!E$26:F$126,MATCH(C669,'Step 4 Stage Discharge'!E$26:E$126,1),1))</f>
        <v>0</v>
      </c>
      <c r="E669" s="219">
        <f>INDEX('Step 4 Stage Discharge'!E$26:M$126,MATCH(C669,'Step 4 Stage Discharge'!E$26:E$126,1),9)+(INDEX('Step 4 Stage Discharge'!E$26:M$126,MATCH('Step 6 Quality Check'!C669,'Step 4 Stage Discharge'!E$26:E$126,1)+1,9)-INDEX('Step 4 Stage Discharge'!E$26:M$126,MATCH('Step 6 Quality Check'!C669,'Step 4 Stage Discharge'!E$26:E$126,1),9))*('Step 6 Quality Check'!C669-INDEX('Step 4 Stage Discharge'!E$26:M$126,MATCH('Step 6 Quality Check'!C669,'Step 4 Stage Discharge'!E$26:E$126,1),1))/(INDEX('Step 4 Stage Discharge'!E$26:M$126,MATCH('Step 6 Quality Check'!C669,'Step 4 Stage Discharge'!E$26:E$126,1)+1,1)-INDEX('Step 4 Stage Discharge'!E$26:M$126,MATCH('Step 6 Quality Check'!C669,'Step 4 Stage Discharge'!E$26:E$126,1),1))</f>
        <v>4.3639431710317386E-3</v>
      </c>
      <c r="F669" s="218">
        <f t="shared" si="50"/>
        <v>0</v>
      </c>
      <c r="G669" s="218">
        <f t="shared" si="51"/>
        <v>0</v>
      </c>
    </row>
    <row r="670" spans="1:7">
      <c r="A670" s="217">
        <f t="shared" si="52"/>
        <v>3270</v>
      </c>
      <c r="B670" s="216">
        <f t="shared" si="53"/>
        <v>99.1</v>
      </c>
      <c r="C670" s="218">
        <f t="shared" si="54"/>
        <v>0</v>
      </c>
      <c r="D670" s="219">
        <f>INDEX('Step 4 Stage Discharge'!E$26:F$126,MATCH(C670,'Step 4 Stage Discharge'!E$26:E$126,1),2)+(INDEX('Step 4 Stage Discharge'!E$26:F$126,MATCH(C670,'Step 4 Stage Discharge'!E$26:E$126,1)+1,2)-INDEX('Step 4 Stage Discharge'!E$26:F$126,MATCH(C670,'Step 4 Stage Discharge'!E$26:E$126,1),2))*(C670-INDEX('Step 4 Stage Discharge'!E$26:F$126,MATCH(C670,'Step 4 Stage Discharge'!E$26:E$126,1),1))/(INDEX('Step 4 Stage Discharge'!E$26:F$126,MATCH(C670,'Step 4 Stage Discharge'!E$26:E$126,1)+1,1)-INDEX('Step 4 Stage Discharge'!E$26:F$126,MATCH(C670,'Step 4 Stage Discharge'!E$26:E$126,1),1))</f>
        <v>0</v>
      </c>
      <c r="E670" s="219">
        <f>INDEX('Step 4 Stage Discharge'!E$26:M$126,MATCH(C670,'Step 4 Stage Discharge'!E$26:E$126,1),9)+(INDEX('Step 4 Stage Discharge'!E$26:M$126,MATCH('Step 6 Quality Check'!C670,'Step 4 Stage Discharge'!E$26:E$126,1)+1,9)-INDEX('Step 4 Stage Discharge'!E$26:M$126,MATCH('Step 6 Quality Check'!C670,'Step 4 Stage Discharge'!E$26:E$126,1),9))*('Step 6 Quality Check'!C670-INDEX('Step 4 Stage Discharge'!E$26:M$126,MATCH('Step 6 Quality Check'!C670,'Step 4 Stage Discharge'!E$26:E$126,1),1))/(INDEX('Step 4 Stage Discharge'!E$26:M$126,MATCH('Step 6 Quality Check'!C670,'Step 4 Stage Discharge'!E$26:E$126,1)+1,1)-INDEX('Step 4 Stage Discharge'!E$26:M$126,MATCH('Step 6 Quality Check'!C670,'Step 4 Stage Discharge'!E$26:E$126,1),1))</f>
        <v>4.3639431710317386E-3</v>
      </c>
      <c r="F670" s="218">
        <f t="shared" si="50"/>
        <v>0</v>
      </c>
      <c r="G670" s="218">
        <f t="shared" si="51"/>
        <v>0</v>
      </c>
    </row>
    <row r="671" spans="1:7">
      <c r="A671" s="217">
        <f t="shared" si="52"/>
        <v>3275</v>
      </c>
      <c r="B671" s="216">
        <f t="shared" si="53"/>
        <v>99.1</v>
      </c>
      <c r="C671" s="218">
        <f t="shared" si="54"/>
        <v>0</v>
      </c>
      <c r="D671" s="219">
        <f>INDEX('Step 4 Stage Discharge'!E$26:F$126,MATCH(C671,'Step 4 Stage Discharge'!E$26:E$126,1),2)+(INDEX('Step 4 Stage Discharge'!E$26:F$126,MATCH(C671,'Step 4 Stage Discharge'!E$26:E$126,1)+1,2)-INDEX('Step 4 Stage Discharge'!E$26:F$126,MATCH(C671,'Step 4 Stage Discharge'!E$26:E$126,1),2))*(C671-INDEX('Step 4 Stage Discharge'!E$26:F$126,MATCH(C671,'Step 4 Stage Discharge'!E$26:E$126,1),1))/(INDEX('Step 4 Stage Discharge'!E$26:F$126,MATCH(C671,'Step 4 Stage Discharge'!E$26:E$126,1)+1,1)-INDEX('Step 4 Stage Discharge'!E$26:F$126,MATCH(C671,'Step 4 Stage Discharge'!E$26:E$126,1),1))</f>
        <v>0</v>
      </c>
      <c r="E671" s="219">
        <f>INDEX('Step 4 Stage Discharge'!E$26:M$126,MATCH(C671,'Step 4 Stage Discharge'!E$26:E$126,1),9)+(INDEX('Step 4 Stage Discharge'!E$26:M$126,MATCH('Step 6 Quality Check'!C671,'Step 4 Stage Discharge'!E$26:E$126,1)+1,9)-INDEX('Step 4 Stage Discharge'!E$26:M$126,MATCH('Step 6 Quality Check'!C671,'Step 4 Stage Discharge'!E$26:E$126,1),9))*('Step 6 Quality Check'!C671-INDEX('Step 4 Stage Discharge'!E$26:M$126,MATCH('Step 6 Quality Check'!C671,'Step 4 Stage Discharge'!E$26:E$126,1),1))/(INDEX('Step 4 Stage Discharge'!E$26:M$126,MATCH('Step 6 Quality Check'!C671,'Step 4 Stage Discharge'!E$26:E$126,1)+1,1)-INDEX('Step 4 Stage Discharge'!E$26:M$126,MATCH('Step 6 Quality Check'!C671,'Step 4 Stage Discharge'!E$26:E$126,1),1))</f>
        <v>4.3639431710317386E-3</v>
      </c>
      <c r="F671" s="218">
        <f t="shared" si="50"/>
        <v>0</v>
      </c>
      <c r="G671" s="218">
        <f t="shared" si="51"/>
        <v>0</v>
      </c>
    </row>
    <row r="672" spans="1:7">
      <c r="A672" s="217">
        <f t="shared" si="52"/>
        <v>3280</v>
      </c>
      <c r="B672" s="216">
        <f t="shared" si="53"/>
        <v>99.1</v>
      </c>
      <c r="C672" s="218">
        <f t="shared" si="54"/>
        <v>0</v>
      </c>
      <c r="D672" s="219">
        <f>INDEX('Step 4 Stage Discharge'!E$26:F$126,MATCH(C672,'Step 4 Stage Discharge'!E$26:E$126,1),2)+(INDEX('Step 4 Stage Discharge'!E$26:F$126,MATCH(C672,'Step 4 Stage Discharge'!E$26:E$126,1)+1,2)-INDEX('Step 4 Stage Discharge'!E$26:F$126,MATCH(C672,'Step 4 Stage Discharge'!E$26:E$126,1),2))*(C672-INDEX('Step 4 Stage Discharge'!E$26:F$126,MATCH(C672,'Step 4 Stage Discharge'!E$26:E$126,1),1))/(INDEX('Step 4 Stage Discharge'!E$26:F$126,MATCH(C672,'Step 4 Stage Discharge'!E$26:E$126,1)+1,1)-INDEX('Step 4 Stage Discharge'!E$26:F$126,MATCH(C672,'Step 4 Stage Discharge'!E$26:E$126,1),1))</f>
        <v>0</v>
      </c>
      <c r="E672" s="219">
        <f>INDEX('Step 4 Stage Discharge'!E$26:M$126,MATCH(C672,'Step 4 Stage Discharge'!E$26:E$126,1),9)+(INDEX('Step 4 Stage Discharge'!E$26:M$126,MATCH('Step 6 Quality Check'!C672,'Step 4 Stage Discharge'!E$26:E$126,1)+1,9)-INDEX('Step 4 Stage Discharge'!E$26:M$126,MATCH('Step 6 Quality Check'!C672,'Step 4 Stage Discharge'!E$26:E$126,1),9))*('Step 6 Quality Check'!C672-INDEX('Step 4 Stage Discharge'!E$26:M$126,MATCH('Step 6 Quality Check'!C672,'Step 4 Stage Discharge'!E$26:E$126,1),1))/(INDEX('Step 4 Stage Discharge'!E$26:M$126,MATCH('Step 6 Quality Check'!C672,'Step 4 Stage Discharge'!E$26:E$126,1)+1,1)-INDEX('Step 4 Stage Discharge'!E$26:M$126,MATCH('Step 6 Quality Check'!C672,'Step 4 Stage Discharge'!E$26:E$126,1),1))</f>
        <v>4.3639431710317386E-3</v>
      </c>
      <c r="F672" s="218">
        <f t="shared" si="50"/>
        <v>0</v>
      </c>
      <c r="G672" s="218">
        <f t="shared" si="51"/>
        <v>0</v>
      </c>
    </row>
    <row r="673" spans="1:7">
      <c r="A673" s="217">
        <f t="shared" si="52"/>
        <v>3285</v>
      </c>
      <c r="B673" s="216">
        <f t="shared" si="53"/>
        <v>99.1</v>
      </c>
      <c r="C673" s="218">
        <f t="shared" si="54"/>
        <v>0</v>
      </c>
      <c r="D673" s="219">
        <f>INDEX('Step 4 Stage Discharge'!E$26:F$126,MATCH(C673,'Step 4 Stage Discharge'!E$26:E$126,1),2)+(INDEX('Step 4 Stage Discharge'!E$26:F$126,MATCH(C673,'Step 4 Stage Discharge'!E$26:E$126,1)+1,2)-INDEX('Step 4 Stage Discharge'!E$26:F$126,MATCH(C673,'Step 4 Stage Discharge'!E$26:E$126,1),2))*(C673-INDEX('Step 4 Stage Discharge'!E$26:F$126,MATCH(C673,'Step 4 Stage Discharge'!E$26:E$126,1),1))/(INDEX('Step 4 Stage Discharge'!E$26:F$126,MATCH(C673,'Step 4 Stage Discharge'!E$26:E$126,1)+1,1)-INDEX('Step 4 Stage Discharge'!E$26:F$126,MATCH(C673,'Step 4 Stage Discharge'!E$26:E$126,1),1))</f>
        <v>0</v>
      </c>
      <c r="E673" s="219">
        <f>INDEX('Step 4 Stage Discharge'!E$26:M$126,MATCH(C673,'Step 4 Stage Discharge'!E$26:E$126,1),9)+(INDEX('Step 4 Stage Discharge'!E$26:M$126,MATCH('Step 6 Quality Check'!C673,'Step 4 Stage Discharge'!E$26:E$126,1)+1,9)-INDEX('Step 4 Stage Discharge'!E$26:M$126,MATCH('Step 6 Quality Check'!C673,'Step 4 Stage Discharge'!E$26:E$126,1),9))*('Step 6 Quality Check'!C673-INDEX('Step 4 Stage Discharge'!E$26:M$126,MATCH('Step 6 Quality Check'!C673,'Step 4 Stage Discharge'!E$26:E$126,1),1))/(INDEX('Step 4 Stage Discharge'!E$26:M$126,MATCH('Step 6 Quality Check'!C673,'Step 4 Stage Discharge'!E$26:E$126,1)+1,1)-INDEX('Step 4 Stage Discharge'!E$26:M$126,MATCH('Step 6 Quality Check'!C673,'Step 4 Stage Discharge'!E$26:E$126,1),1))</f>
        <v>4.3639431710317386E-3</v>
      </c>
      <c r="F673" s="218">
        <f t="shared" si="50"/>
        <v>0</v>
      </c>
      <c r="G673" s="218">
        <f t="shared" si="51"/>
        <v>0</v>
      </c>
    </row>
    <row r="674" spans="1:7">
      <c r="A674" s="217">
        <f t="shared" si="52"/>
        <v>3290</v>
      </c>
      <c r="B674" s="216">
        <f t="shared" si="53"/>
        <v>99.1</v>
      </c>
      <c r="C674" s="218">
        <f t="shared" si="54"/>
        <v>0</v>
      </c>
      <c r="D674" s="219">
        <f>INDEX('Step 4 Stage Discharge'!E$26:F$126,MATCH(C674,'Step 4 Stage Discharge'!E$26:E$126,1),2)+(INDEX('Step 4 Stage Discharge'!E$26:F$126,MATCH(C674,'Step 4 Stage Discharge'!E$26:E$126,1)+1,2)-INDEX('Step 4 Stage Discharge'!E$26:F$126,MATCH(C674,'Step 4 Stage Discharge'!E$26:E$126,1),2))*(C674-INDEX('Step 4 Stage Discharge'!E$26:F$126,MATCH(C674,'Step 4 Stage Discharge'!E$26:E$126,1),1))/(INDEX('Step 4 Stage Discharge'!E$26:F$126,MATCH(C674,'Step 4 Stage Discharge'!E$26:E$126,1)+1,1)-INDEX('Step 4 Stage Discharge'!E$26:F$126,MATCH(C674,'Step 4 Stage Discharge'!E$26:E$126,1),1))</f>
        <v>0</v>
      </c>
      <c r="E674" s="219">
        <f>INDEX('Step 4 Stage Discharge'!E$26:M$126,MATCH(C674,'Step 4 Stage Discharge'!E$26:E$126,1),9)+(INDEX('Step 4 Stage Discharge'!E$26:M$126,MATCH('Step 6 Quality Check'!C674,'Step 4 Stage Discharge'!E$26:E$126,1)+1,9)-INDEX('Step 4 Stage Discharge'!E$26:M$126,MATCH('Step 6 Quality Check'!C674,'Step 4 Stage Discharge'!E$26:E$126,1),9))*('Step 6 Quality Check'!C674-INDEX('Step 4 Stage Discharge'!E$26:M$126,MATCH('Step 6 Quality Check'!C674,'Step 4 Stage Discharge'!E$26:E$126,1),1))/(INDEX('Step 4 Stage Discharge'!E$26:M$126,MATCH('Step 6 Quality Check'!C674,'Step 4 Stage Discharge'!E$26:E$126,1)+1,1)-INDEX('Step 4 Stage Discharge'!E$26:M$126,MATCH('Step 6 Quality Check'!C674,'Step 4 Stage Discharge'!E$26:E$126,1),1))</f>
        <v>4.3639431710317386E-3</v>
      </c>
      <c r="F674" s="218">
        <f t="shared" si="50"/>
        <v>0</v>
      </c>
      <c r="G674" s="218">
        <f t="shared" si="51"/>
        <v>0</v>
      </c>
    </row>
    <row r="675" spans="1:7">
      <c r="A675" s="217">
        <f t="shared" si="52"/>
        <v>3295</v>
      </c>
      <c r="B675" s="216">
        <f t="shared" si="53"/>
        <v>99.1</v>
      </c>
      <c r="C675" s="218">
        <f t="shared" si="54"/>
        <v>0</v>
      </c>
      <c r="D675" s="219">
        <f>INDEX('Step 4 Stage Discharge'!E$26:F$126,MATCH(C675,'Step 4 Stage Discharge'!E$26:E$126,1),2)+(INDEX('Step 4 Stage Discharge'!E$26:F$126,MATCH(C675,'Step 4 Stage Discharge'!E$26:E$126,1)+1,2)-INDEX('Step 4 Stage Discharge'!E$26:F$126,MATCH(C675,'Step 4 Stage Discharge'!E$26:E$126,1),2))*(C675-INDEX('Step 4 Stage Discharge'!E$26:F$126,MATCH(C675,'Step 4 Stage Discharge'!E$26:E$126,1),1))/(INDEX('Step 4 Stage Discharge'!E$26:F$126,MATCH(C675,'Step 4 Stage Discharge'!E$26:E$126,1)+1,1)-INDEX('Step 4 Stage Discharge'!E$26:F$126,MATCH(C675,'Step 4 Stage Discharge'!E$26:E$126,1),1))</f>
        <v>0</v>
      </c>
      <c r="E675" s="219">
        <f>INDEX('Step 4 Stage Discharge'!E$26:M$126,MATCH(C675,'Step 4 Stage Discharge'!E$26:E$126,1),9)+(INDEX('Step 4 Stage Discharge'!E$26:M$126,MATCH('Step 6 Quality Check'!C675,'Step 4 Stage Discharge'!E$26:E$126,1)+1,9)-INDEX('Step 4 Stage Discharge'!E$26:M$126,MATCH('Step 6 Quality Check'!C675,'Step 4 Stage Discharge'!E$26:E$126,1),9))*('Step 6 Quality Check'!C675-INDEX('Step 4 Stage Discharge'!E$26:M$126,MATCH('Step 6 Quality Check'!C675,'Step 4 Stage Discharge'!E$26:E$126,1),1))/(INDEX('Step 4 Stage Discharge'!E$26:M$126,MATCH('Step 6 Quality Check'!C675,'Step 4 Stage Discharge'!E$26:E$126,1)+1,1)-INDEX('Step 4 Stage Discharge'!E$26:M$126,MATCH('Step 6 Quality Check'!C675,'Step 4 Stage Discharge'!E$26:E$126,1),1))</f>
        <v>4.3639431710317386E-3</v>
      </c>
      <c r="F675" s="218">
        <f t="shared" si="50"/>
        <v>0</v>
      </c>
      <c r="G675" s="218">
        <f t="shared" si="51"/>
        <v>0</v>
      </c>
    </row>
    <row r="676" spans="1:7">
      <c r="A676" s="217">
        <f t="shared" si="52"/>
        <v>3300</v>
      </c>
      <c r="B676" s="216">
        <f t="shared" si="53"/>
        <v>99.1</v>
      </c>
      <c r="C676" s="218">
        <f t="shared" si="54"/>
        <v>0</v>
      </c>
      <c r="D676" s="219">
        <f>INDEX('Step 4 Stage Discharge'!E$26:F$126,MATCH(C676,'Step 4 Stage Discharge'!E$26:E$126,1),2)+(INDEX('Step 4 Stage Discharge'!E$26:F$126,MATCH(C676,'Step 4 Stage Discharge'!E$26:E$126,1)+1,2)-INDEX('Step 4 Stage Discharge'!E$26:F$126,MATCH(C676,'Step 4 Stage Discharge'!E$26:E$126,1),2))*(C676-INDEX('Step 4 Stage Discharge'!E$26:F$126,MATCH(C676,'Step 4 Stage Discharge'!E$26:E$126,1),1))/(INDEX('Step 4 Stage Discharge'!E$26:F$126,MATCH(C676,'Step 4 Stage Discharge'!E$26:E$126,1)+1,1)-INDEX('Step 4 Stage Discharge'!E$26:F$126,MATCH(C676,'Step 4 Stage Discharge'!E$26:E$126,1),1))</f>
        <v>0</v>
      </c>
      <c r="E676" s="219">
        <f>INDEX('Step 4 Stage Discharge'!E$26:M$126,MATCH(C676,'Step 4 Stage Discharge'!E$26:E$126,1),9)+(INDEX('Step 4 Stage Discharge'!E$26:M$126,MATCH('Step 6 Quality Check'!C676,'Step 4 Stage Discharge'!E$26:E$126,1)+1,9)-INDEX('Step 4 Stage Discharge'!E$26:M$126,MATCH('Step 6 Quality Check'!C676,'Step 4 Stage Discharge'!E$26:E$126,1),9))*('Step 6 Quality Check'!C676-INDEX('Step 4 Stage Discharge'!E$26:M$126,MATCH('Step 6 Quality Check'!C676,'Step 4 Stage Discharge'!E$26:E$126,1),1))/(INDEX('Step 4 Stage Discharge'!E$26:M$126,MATCH('Step 6 Quality Check'!C676,'Step 4 Stage Discharge'!E$26:E$126,1)+1,1)-INDEX('Step 4 Stage Discharge'!E$26:M$126,MATCH('Step 6 Quality Check'!C676,'Step 4 Stage Discharge'!E$26:E$126,1),1))</f>
        <v>4.3639431710317386E-3</v>
      </c>
      <c r="F676" s="218">
        <f t="shared" si="50"/>
        <v>0</v>
      </c>
      <c r="G676" s="218">
        <f t="shared" si="51"/>
        <v>0</v>
      </c>
    </row>
    <row r="677" spans="1:7">
      <c r="A677" s="217">
        <f t="shared" si="52"/>
        <v>3305</v>
      </c>
      <c r="B677" s="216">
        <f t="shared" si="53"/>
        <v>99.1</v>
      </c>
      <c r="C677" s="218">
        <f t="shared" si="54"/>
        <v>0</v>
      </c>
      <c r="D677" s="219">
        <f>INDEX('Step 4 Stage Discharge'!E$26:F$126,MATCH(C677,'Step 4 Stage Discharge'!E$26:E$126,1),2)+(INDEX('Step 4 Stage Discharge'!E$26:F$126,MATCH(C677,'Step 4 Stage Discharge'!E$26:E$126,1)+1,2)-INDEX('Step 4 Stage Discharge'!E$26:F$126,MATCH(C677,'Step 4 Stage Discharge'!E$26:E$126,1),2))*(C677-INDEX('Step 4 Stage Discharge'!E$26:F$126,MATCH(C677,'Step 4 Stage Discharge'!E$26:E$126,1),1))/(INDEX('Step 4 Stage Discharge'!E$26:F$126,MATCH(C677,'Step 4 Stage Discharge'!E$26:E$126,1)+1,1)-INDEX('Step 4 Stage Discharge'!E$26:F$126,MATCH(C677,'Step 4 Stage Discharge'!E$26:E$126,1),1))</f>
        <v>0</v>
      </c>
      <c r="E677" s="219">
        <f>INDEX('Step 4 Stage Discharge'!E$26:M$126,MATCH(C677,'Step 4 Stage Discharge'!E$26:E$126,1),9)+(INDEX('Step 4 Stage Discharge'!E$26:M$126,MATCH('Step 6 Quality Check'!C677,'Step 4 Stage Discharge'!E$26:E$126,1)+1,9)-INDEX('Step 4 Stage Discharge'!E$26:M$126,MATCH('Step 6 Quality Check'!C677,'Step 4 Stage Discharge'!E$26:E$126,1),9))*('Step 6 Quality Check'!C677-INDEX('Step 4 Stage Discharge'!E$26:M$126,MATCH('Step 6 Quality Check'!C677,'Step 4 Stage Discharge'!E$26:E$126,1),1))/(INDEX('Step 4 Stage Discharge'!E$26:M$126,MATCH('Step 6 Quality Check'!C677,'Step 4 Stage Discharge'!E$26:E$126,1)+1,1)-INDEX('Step 4 Stage Discharge'!E$26:M$126,MATCH('Step 6 Quality Check'!C677,'Step 4 Stage Discharge'!E$26:E$126,1),1))</f>
        <v>4.3639431710317386E-3</v>
      </c>
      <c r="F677" s="218">
        <f t="shared" si="50"/>
        <v>0</v>
      </c>
      <c r="G677" s="218">
        <f t="shared" si="51"/>
        <v>0</v>
      </c>
    </row>
    <row r="678" spans="1:7">
      <c r="A678" s="217">
        <f t="shared" si="52"/>
        <v>3310</v>
      </c>
      <c r="B678" s="216">
        <f t="shared" si="53"/>
        <v>99.1</v>
      </c>
      <c r="C678" s="218">
        <f t="shared" si="54"/>
        <v>0</v>
      </c>
      <c r="D678" s="219">
        <f>INDEX('Step 4 Stage Discharge'!E$26:F$126,MATCH(C678,'Step 4 Stage Discharge'!E$26:E$126,1),2)+(INDEX('Step 4 Stage Discharge'!E$26:F$126,MATCH(C678,'Step 4 Stage Discharge'!E$26:E$126,1)+1,2)-INDEX('Step 4 Stage Discharge'!E$26:F$126,MATCH(C678,'Step 4 Stage Discharge'!E$26:E$126,1),2))*(C678-INDEX('Step 4 Stage Discharge'!E$26:F$126,MATCH(C678,'Step 4 Stage Discharge'!E$26:E$126,1),1))/(INDEX('Step 4 Stage Discharge'!E$26:F$126,MATCH(C678,'Step 4 Stage Discharge'!E$26:E$126,1)+1,1)-INDEX('Step 4 Stage Discharge'!E$26:F$126,MATCH(C678,'Step 4 Stage Discharge'!E$26:E$126,1),1))</f>
        <v>0</v>
      </c>
      <c r="E678" s="219">
        <f>INDEX('Step 4 Stage Discharge'!E$26:M$126,MATCH(C678,'Step 4 Stage Discharge'!E$26:E$126,1),9)+(INDEX('Step 4 Stage Discharge'!E$26:M$126,MATCH('Step 6 Quality Check'!C678,'Step 4 Stage Discharge'!E$26:E$126,1)+1,9)-INDEX('Step 4 Stage Discharge'!E$26:M$126,MATCH('Step 6 Quality Check'!C678,'Step 4 Stage Discharge'!E$26:E$126,1),9))*('Step 6 Quality Check'!C678-INDEX('Step 4 Stage Discharge'!E$26:M$126,MATCH('Step 6 Quality Check'!C678,'Step 4 Stage Discharge'!E$26:E$126,1),1))/(INDEX('Step 4 Stage Discharge'!E$26:M$126,MATCH('Step 6 Quality Check'!C678,'Step 4 Stage Discharge'!E$26:E$126,1)+1,1)-INDEX('Step 4 Stage Discharge'!E$26:M$126,MATCH('Step 6 Quality Check'!C678,'Step 4 Stage Discharge'!E$26:E$126,1),1))</f>
        <v>4.3639431710317386E-3</v>
      </c>
      <c r="F678" s="218">
        <f t="shared" si="50"/>
        <v>0</v>
      </c>
      <c r="G678" s="218">
        <f t="shared" si="51"/>
        <v>0</v>
      </c>
    </row>
    <row r="679" spans="1:7">
      <c r="A679" s="217">
        <f t="shared" si="52"/>
        <v>3315</v>
      </c>
      <c r="B679" s="216">
        <f t="shared" si="53"/>
        <v>99.1</v>
      </c>
      <c r="C679" s="218">
        <f t="shared" si="54"/>
        <v>0</v>
      </c>
      <c r="D679" s="219">
        <f>INDEX('Step 4 Stage Discharge'!E$26:F$126,MATCH(C679,'Step 4 Stage Discharge'!E$26:E$126,1),2)+(INDEX('Step 4 Stage Discharge'!E$26:F$126,MATCH(C679,'Step 4 Stage Discharge'!E$26:E$126,1)+1,2)-INDEX('Step 4 Stage Discharge'!E$26:F$126,MATCH(C679,'Step 4 Stage Discharge'!E$26:E$126,1),2))*(C679-INDEX('Step 4 Stage Discharge'!E$26:F$126,MATCH(C679,'Step 4 Stage Discharge'!E$26:E$126,1),1))/(INDEX('Step 4 Stage Discharge'!E$26:F$126,MATCH(C679,'Step 4 Stage Discharge'!E$26:E$126,1)+1,1)-INDEX('Step 4 Stage Discharge'!E$26:F$126,MATCH(C679,'Step 4 Stage Discharge'!E$26:E$126,1),1))</f>
        <v>0</v>
      </c>
      <c r="E679" s="219">
        <f>INDEX('Step 4 Stage Discharge'!E$26:M$126,MATCH(C679,'Step 4 Stage Discharge'!E$26:E$126,1),9)+(INDEX('Step 4 Stage Discharge'!E$26:M$126,MATCH('Step 6 Quality Check'!C679,'Step 4 Stage Discharge'!E$26:E$126,1)+1,9)-INDEX('Step 4 Stage Discharge'!E$26:M$126,MATCH('Step 6 Quality Check'!C679,'Step 4 Stage Discharge'!E$26:E$126,1),9))*('Step 6 Quality Check'!C679-INDEX('Step 4 Stage Discharge'!E$26:M$126,MATCH('Step 6 Quality Check'!C679,'Step 4 Stage Discharge'!E$26:E$126,1),1))/(INDEX('Step 4 Stage Discharge'!E$26:M$126,MATCH('Step 6 Quality Check'!C679,'Step 4 Stage Discharge'!E$26:E$126,1)+1,1)-INDEX('Step 4 Stage Discharge'!E$26:M$126,MATCH('Step 6 Quality Check'!C679,'Step 4 Stage Discharge'!E$26:E$126,1),1))</f>
        <v>4.3639431710317386E-3</v>
      </c>
      <c r="F679" s="218">
        <f t="shared" si="50"/>
        <v>0</v>
      </c>
      <c r="G679" s="218">
        <f t="shared" si="51"/>
        <v>0</v>
      </c>
    </row>
    <row r="680" spans="1:7">
      <c r="A680" s="217">
        <f t="shared" si="52"/>
        <v>3320</v>
      </c>
      <c r="B680" s="216">
        <f t="shared" si="53"/>
        <v>99.1</v>
      </c>
      <c r="C680" s="218">
        <f t="shared" si="54"/>
        <v>0</v>
      </c>
      <c r="D680" s="219">
        <f>INDEX('Step 4 Stage Discharge'!E$26:F$126,MATCH(C680,'Step 4 Stage Discharge'!E$26:E$126,1),2)+(INDEX('Step 4 Stage Discharge'!E$26:F$126,MATCH(C680,'Step 4 Stage Discharge'!E$26:E$126,1)+1,2)-INDEX('Step 4 Stage Discharge'!E$26:F$126,MATCH(C680,'Step 4 Stage Discharge'!E$26:E$126,1),2))*(C680-INDEX('Step 4 Stage Discharge'!E$26:F$126,MATCH(C680,'Step 4 Stage Discharge'!E$26:E$126,1),1))/(INDEX('Step 4 Stage Discharge'!E$26:F$126,MATCH(C680,'Step 4 Stage Discharge'!E$26:E$126,1)+1,1)-INDEX('Step 4 Stage Discharge'!E$26:F$126,MATCH(C680,'Step 4 Stage Discharge'!E$26:E$126,1),1))</f>
        <v>0</v>
      </c>
      <c r="E680" s="219">
        <f>INDEX('Step 4 Stage Discharge'!E$26:M$126,MATCH(C680,'Step 4 Stage Discharge'!E$26:E$126,1),9)+(INDEX('Step 4 Stage Discharge'!E$26:M$126,MATCH('Step 6 Quality Check'!C680,'Step 4 Stage Discharge'!E$26:E$126,1)+1,9)-INDEX('Step 4 Stage Discharge'!E$26:M$126,MATCH('Step 6 Quality Check'!C680,'Step 4 Stage Discharge'!E$26:E$126,1),9))*('Step 6 Quality Check'!C680-INDEX('Step 4 Stage Discharge'!E$26:M$126,MATCH('Step 6 Quality Check'!C680,'Step 4 Stage Discharge'!E$26:E$126,1),1))/(INDEX('Step 4 Stage Discharge'!E$26:M$126,MATCH('Step 6 Quality Check'!C680,'Step 4 Stage Discharge'!E$26:E$126,1)+1,1)-INDEX('Step 4 Stage Discharge'!E$26:M$126,MATCH('Step 6 Quality Check'!C680,'Step 4 Stage Discharge'!E$26:E$126,1),1))</f>
        <v>4.3639431710317386E-3</v>
      </c>
      <c r="F680" s="218">
        <f t="shared" si="50"/>
        <v>0</v>
      </c>
      <c r="G680" s="218">
        <f t="shared" si="51"/>
        <v>0</v>
      </c>
    </row>
    <row r="681" spans="1:7">
      <c r="A681" s="217">
        <f t="shared" si="52"/>
        <v>3325</v>
      </c>
      <c r="B681" s="216">
        <f t="shared" si="53"/>
        <v>99.1</v>
      </c>
      <c r="C681" s="218">
        <f t="shared" si="54"/>
        <v>0</v>
      </c>
      <c r="D681" s="219">
        <f>INDEX('Step 4 Stage Discharge'!E$26:F$126,MATCH(C681,'Step 4 Stage Discharge'!E$26:E$126,1),2)+(INDEX('Step 4 Stage Discharge'!E$26:F$126,MATCH(C681,'Step 4 Stage Discharge'!E$26:E$126,1)+1,2)-INDEX('Step 4 Stage Discharge'!E$26:F$126,MATCH(C681,'Step 4 Stage Discharge'!E$26:E$126,1),2))*(C681-INDEX('Step 4 Stage Discharge'!E$26:F$126,MATCH(C681,'Step 4 Stage Discharge'!E$26:E$126,1),1))/(INDEX('Step 4 Stage Discharge'!E$26:F$126,MATCH(C681,'Step 4 Stage Discharge'!E$26:E$126,1)+1,1)-INDEX('Step 4 Stage Discharge'!E$26:F$126,MATCH(C681,'Step 4 Stage Discharge'!E$26:E$126,1),1))</f>
        <v>0</v>
      </c>
      <c r="E681" s="219">
        <f>INDEX('Step 4 Stage Discharge'!E$26:M$126,MATCH(C681,'Step 4 Stage Discharge'!E$26:E$126,1),9)+(INDEX('Step 4 Stage Discharge'!E$26:M$126,MATCH('Step 6 Quality Check'!C681,'Step 4 Stage Discharge'!E$26:E$126,1)+1,9)-INDEX('Step 4 Stage Discharge'!E$26:M$126,MATCH('Step 6 Quality Check'!C681,'Step 4 Stage Discharge'!E$26:E$126,1),9))*('Step 6 Quality Check'!C681-INDEX('Step 4 Stage Discharge'!E$26:M$126,MATCH('Step 6 Quality Check'!C681,'Step 4 Stage Discharge'!E$26:E$126,1),1))/(INDEX('Step 4 Stage Discharge'!E$26:M$126,MATCH('Step 6 Quality Check'!C681,'Step 4 Stage Discharge'!E$26:E$126,1)+1,1)-INDEX('Step 4 Stage Discharge'!E$26:M$126,MATCH('Step 6 Quality Check'!C681,'Step 4 Stage Discharge'!E$26:E$126,1),1))</f>
        <v>4.3639431710317386E-3</v>
      </c>
      <c r="F681" s="218">
        <f t="shared" si="50"/>
        <v>0</v>
      </c>
      <c r="G681" s="218">
        <f t="shared" si="51"/>
        <v>0</v>
      </c>
    </row>
    <row r="682" spans="1:7">
      <c r="A682" s="217">
        <f t="shared" si="52"/>
        <v>3330</v>
      </c>
      <c r="B682" s="216">
        <f t="shared" si="53"/>
        <v>99.1</v>
      </c>
      <c r="C682" s="218">
        <f t="shared" si="54"/>
        <v>0</v>
      </c>
      <c r="D682" s="219">
        <f>INDEX('Step 4 Stage Discharge'!E$26:F$126,MATCH(C682,'Step 4 Stage Discharge'!E$26:E$126,1),2)+(INDEX('Step 4 Stage Discharge'!E$26:F$126,MATCH(C682,'Step 4 Stage Discharge'!E$26:E$126,1)+1,2)-INDEX('Step 4 Stage Discharge'!E$26:F$126,MATCH(C682,'Step 4 Stage Discharge'!E$26:E$126,1),2))*(C682-INDEX('Step 4 Stage Discharge'!E$26:F$126,MATCH(C682,'Step 4 Stage Discharge'!E$26:E$126,1),1))/(INDEX('Step 4 Stage Discharge'!E$26:F$126,MATCH(C682,'Step 4 Stage Discharge'!E$26:E$126,1)+1,1)-INDEX('Step 4 Stage Discharge'!E$26:F$126,MATCH(C682,'Step 4 Stage Discharge'!E$26:E$126,1),1))</f>
        <v>0</v>
      </c>
      <c r="E682" s="219">
        <f>INDEX('Step 4 Stage Discharge'!E$26:M$126,MATCH(C682,'Step 4 Stage Discharge'!E$26:E$126,1),9)+(INDEX('Step 4 Stage Discharge'!E$26:M$126,MATCH('Step 6 Quality Check'!C682,'Step 4 Stage Discharge'!E$26:E$126,1)+1,9)-INDEX('Step 4 Stage Discharge'!E$26:M$126,MATCH('Step 6 Quality Check'!C682,'Step 4 Stage Discharge'!E$26:E$126,1),9))*('Step 6 Quality Check'!C682-INDEX('Step 4 Stage Discharge'!E$26:M$126,MATCH('Step 6 Quality Check'!C682,'Step 4 Stage Discharge'!E$26:E$126,1),1))/(INDEX('Step 4 Stage Discharge'!E$26:M$126,MATCH('Step 6 Quality Check'!C682,'Step 4 Stage Discharge'!E$26:E$126,1)+1,1)-INDEX('Step 4 Stage Discharge'!E$26:M$126,MATCH('Step 6 Quality Check'!C682,'Step 4 Stage Discharge'!E$26:E$126,1),1))</f>
        <v>4.3639431710317386E-3</v>
      </c>
      <c r="F682" s="218">
        <f t="shared" si="50"/>
        <v>0</v>
      </c>
      <c r="G682" s="218">
        <f t="shared" si="51"/>
        <v>0</v>
      </c>
    </row>
    <row r="683" spans="1:7">
      <c r="A683" s="217">
        <f t="shared" si="52"/>
        <v>3335</v>
      </c>
      <c r="B683" s="216">
        <f t="shared" si="53"/>
        <v>99.1</v>
      </c>
      <c r="C683" s="218">
        <f t="shared" si="54"/>
        <v>0</v>
      </c>
      <c r="D683" s="219">
        <f>INDEX('Step 4 Stage Discharge'!E$26:F$126,MATCH(C683,'Step 4 Stage Discharge'!E$26:E$126,1),2)+(INDEX('Step 4 Stage Discharge'!E$26:F$126,MATCH(C683,'Step 4 Stage Discharge'!E$26:E$126,1)+1,2)-INDEX('Step 4 Stage Discharge'!E$26:F$126,MATCH(C683,'Step 4 Stage Discharge'!E$26:E$126,1),2))*(C683-INDEX('Step 4 Stage Discharge'!E$26:F$126,MATCH(C683,'Step 4 Stage Discharge'!E$26:E$126,1),1))/(INDEX('Step 4 Stage Discharge'!E$26:F$126,MATCH(C683,'Step 4 Stage Discharge'!E$26:E$126,1)+1,1)-INDEX('Step 4 Stage Discharge'!E$26:F$126,MATCH(C683,'Step 4 Stage Discharge'!E$26:E$126,1),1))</f>
        <v>0</v>
      </c>
      <c r="E683" s="219">
        <f>INDEX('Step 4 Stage Discharge'!E$26:M$126,MATCH(C683,'Step 4 Stage Discharge'!E$26:E$126,1),9)+(INDEX('Step 4 Stage Discharge'!E$26:M$126,MATCH('Step 6 Quality Check'!C683,'Step 4 Stage Discharge'!E$26:E$126,1)+1,9)-INDEX('Step 4 Stage Discharge'!E$26:M$126,MATCH('Step 6 Quality Check'!C683,'Step 4 Stage Discharge'!E$26:E$126,1),9))*('Step 6 Quality Check'!C683-INDEX('Step 4 Stage Discharge'!E$26:M$126,MATCH('Step 6 Quality Check'!C683,'Step 4 Stage Discharge'!E$26:E$126,1),1))/(INDEX('Step 4 Stage Discharge'!E$26:M$126,MATCH('Step 6 Quality Check'!C683,'Step 4 Stage Discharge'!E$26:E$126,1)+1,1)-INDEX('Step 4 Stage Discharge'!E$26:M$126,MATCH('Step 6 Quality Check'!C683,'Step 4 Stage Discharge'!E$26:E$126,1),1))</f>
        <v>4.3639431710317386E-3</v>
      </c>
      <c r="F683" s="218">
        <f t="shared" si="50"/>
        <v>0</v>
      </c>
      <c r="G683" s="218">
        <f t="shared" si="51"/>
        <v>0</v>
      </c>
    </row>
    <row r="684" spans="1:7">
      <c r="A684" s="217">
        <f t="shared" si="52"/>
        <v>3340</v>
      </c>
      <c r="B684" s="216">
        <f t="shared" si="53"/>
        <v>99.1</v>
      </c>
      <c r="C684" s="218">
        <f t="shared" si="54"/>
        <v>0</v>
      </c>
      <c r="D684" s="219">
        <f>INDEX('Step 4 Stage Discharge'!E$26:F$126,MATCH(C684,'Step 4 Stage Discharge'!E$26:E$126,1),2)+(INDEX('Step 4 Stage Discharge'!E$26:F$126,MATCH(C684,'Step 4 Stage Discharge'!E$26:E$126,1)+1,2)-INDEX('Step 4 Stage Discharge'!E$26:F$126,MATCH(C684,'Step 4 Stage Discharge'!E$26:E$126,1),2))*(C684-INDEX('Step 4 Stage Discharge'!E$26:F$126,MATCH(C684,'Step 4 Stage Discharge'!E$26:E$126,1),1))/(INDEX('Step 4 Stage Discharge'!E$26:F$126,MATCH(C684,'Step 4 Stage Discharge'!E$26:E$126,1)+1,1)-INDEX('Step 4 Stage Discharge'!E$26:F$126,MATCH(C684,'Step 4 Stage Discharge'!E$26:E$126,1),1))</f>
        <v>0</v>
      </c>
      <c r="E684" s="219">
        <f>INDEX('Step 4 Stage Discharge'!E$26:M$126,MATCH(C684,'Step 4 Stage Discharge'!E$26:E$126,1),9)+(INDEX('Step 4 Stage Discharge'!E$26:M$126,MATCH('Step 6 Quality Check'!C684,'Step 4 Stage Discharge'!E$26:E$126,1)+1,9)-INDEX('Step 4 Stage Discharge'!E$26:M$126,MATCH('Step 6 Quality Check'!C684,'Step 4 Stage Discharge'!E$26:E$126,1),9))*('Step 6 Quality Check'!C684-INDEX('Step 4 Stage Discharge'!E$26:M$126,MATCH('Step 6 Quality Check'!C684,'Step 4 Stage Discharge'!E$26:E$126,1),1))/(INDEX('Step 4 Stage Discharge'!E$26:M$126,MATCH('Step 6 Quality Check'!C684,'Step 4 Stage Discharge'!E$26:E$126,1)+1,1)-INDEX('Step 4 Stage Discharge'!E$26:M$126,MATCH('Step 6 Quality Check'!C684,'Step 4 Stage Discharge'!E$26:E$126,1),1))</f>
        <v>4.3639431710317386E-3</v>
      </c>
      <c r="F684" s="218">
        <f t="shared" si="50"/>
        <v>0</v>
      </c>
      <c r="G684" s="218">
        <f t="shared" si="51"/>
        <v>0</v>
      </c>
    </row>
    <row r="685" spans="1:7">
      <c r="A685" s="217">
        <f t="shared" si="52"/>
        <v>3345</v>
      </c>
      <c r="B685" s="216">
        <f t="shared" si="53"/>
        <v>99.1</v>
      </c>
      <c r="C685" s="218">
        <f t="shared" si="54"/>
        <v>0</v>
      </c>
      <c r="D685" s="219">
        <f>INDEX('Step 4 Stage Discharge'!E$26:F$126,MATCH(C685,'Step 4 Stage Discharge'!E$26:E$126,1),2)+(INDEX('Step 4 Stage Discharge'!E$26:F$126,MATCH(C685,'Step 4 Stage Discharge'!E$26:E$126,1)+1,2)-INDEX('Step 4 Stage Discharge'!E$26:F$126,MATCH(C685,'Step 4 Stage Discharge'!E$26:E$126,1),2))*(C685-INDEX('Step 4 Stage Discharge'!E$26:F$126,MATCH(C685,'Step 4 Stage Discharge'!E$26:E$126,1),1))/(INDEX('Step 4 Stage Discharge'!E$26:F$126,MATCH(C685,'Step 4 Stage Discharge'!E$26:E$126,1)+1,1)-INDEX('Step 4 Stage Discharge'!E$26:F$126,MATCH(C685,'Step 4 Stage Discharge'!E$26:E$126,1),1))</f>
        <v>0</v>
      </c>
      <c r="E685" s="219">
        <f>INDEX('Step 4 Stage Discharge'!E$26:M$126,MATCH(C685,'Step 4 Stage Discharge'!E$26:E$126,1),9)+(INDEX('Step 4 Stage Discharge'!E$26:M$126,MATCH('Step 6 Quality Check'!C685,'Step 4 Stage Discharge'!E$26:E$126,1)+1,9)-INDEX('Step 4 Stage Discharge'!E$26:M$126,MATCH('Step 6 Quality Check'!C685,'Step 4 Stage Discharge'!E$26:E$126,1),9))*('Step 6 Quality Check'!C685-INDEX('Step 4 Stage Discharge'!E$26:M$126,MATCH('Step 6 Quality Check'!C685,'Step 4 Stage Discharge'!E$26:E$126,1),1))/(INDEX('Step 4 Stage Discharge'!E$26:M$126,MATCH('Step 6 Quality Check'!C685,'Step 4 Stage Discharge'!E$26:E$126,1)+1,1)-INDEX('Step 4 Stage Discharge'!E$26:M$126,MATCH('Step 6 Quality Check'!C685,'Step 4 Stage Discharge'!E$26:E$126,1),1))</f>
        <v>4.3639431710317386E-3</v>
      </c>
      <c r="F685" s="218">
        <f t="shared" si="50"/>
        <v>0</v>
      </c>
      <c r="G685" s="218">
        <f t="shared" si="51"/>
        <v>0</v>
      </c>
    </row>
    <row r="686" spans="1:7">
      <c r="A686" s="217">
        <f t="shared" si="52"/>
        <v>3350</v>
      </c>
      <c r="B686" s="216">
        <f t="shared" si="53"/>
        <v>99.1</v>
      </c>
      <c r="C686" s="218">
        <f t="shared" si="54"/>
        <v>0</v>
      </c>
      <c r="D686" s="219">
        <f>INDEX('Step 4 Stage Discharge'!E$26:F$126,MATCH(C686,'Step 4 Stage Discharge'!E$26:E$126,1),2)+(INDEX('Step 4 Stage Discharge'!E$26:F$126,MATCH(C686,'Step 4 Stage Discharge'!E$26:E$126,1)+1,2)-INDEX('Step 4 Stage Discharge'!E$26:F$126,MATCH(C686,'Step 4 Stage Discharge'!E$26:E$126,1),2))*(C686-INDEX('Step 4 Stage Discharge'!E$26:F$126,MATCH(C686,'Step 4 Stage Discharge'!E$26:E$126,1),1))/(INDEX('Step 4 Stage Discharge'!E$26:F$126,MATCH(C686,'Step 4 Stage Discharge'!E$26:E$126,1)+1,1)-INDEX('Step 4 Stage Discharge'!E$26:F$126,MATCH(C686,'Step 4 Stage Discharge'!E$26:E$126,1),1))</f>
        <v>0</v>
      </c>
      <c r="E686" s="219">
        <f>INDEX('Step 4 Stage Discharge'!E$26:M$126,MATCH(C686,'Step 4 Stage Discharge'!E$26:E$126,1),9)+(INDEX('Step 4 Stage Discharge'!E$26:M$126,MATCH('Step 6 Quality Check'!C686,'Step 4 Stage Discharge'!E$26:E$126,1)+1,9)-INDEX('Step 4 Stage Discharge'!E$26:M$126,MATCH('Step 6 Quality Check'!C686,'Step 4 Stage Discharge'!E$26:E$126,1),9))*('Step 6 Quality Check'!C686-INDEX('Step 4 Stage Discharge'!E$26:M$126,MATCH('Step 6 Quality Check'!C686,'Step 4 Stage Discharge'!E$26:E$126,1),1))/(INDEX('Step 4 Stage Discharge'!E$26:M$126,MATCH('Step 6 Quality Check'!C686,'Step 4 Stage Discharge'!E$26:E$126,1)+1,1)-INDEX('Step 4 Stage Discharge'!E$26:M$126,MATCH('Step 6 Quality Check'!C686,'Step 4 Stage Discharge'!E$26:E$126,1),1))</f>
        <v>4.3639431710317386E-3</v>
      </c>
      <c r="F686" s="218">
        <f t="shared" si="50"/>
        <v>0</v>
      </c>
      <c r="G686" s="218">
        <f t="shared" si="51"/>
        <v>0</v>
      </c>
    </row>
    <row r="687" spans="1:7">
      <c r="A687" s="217">
        <f t="shared" si="52"/>
        <v>3355</v>
      </c>
      <c r="B687" s="216">
        <f t="shared" si="53"/>
        <v>99.1</v>
      </c>
      <c r="C687" s="218">
        <f t="shared" si="54"/>
        <v>0</v>
      </c>
      <c r="D687" s="219">
        <f>INDEX('Step 4 Stage Discharge'!E$26:F$126,MATCH(C687,'Step 4 Stage Discharge'!E$26:E$126,1),2)+(INDEX('Step 4 Stage Discharge'!E$26:F$126,MATCH(C687,'Step 4 Stage Discharge'!E$26:E$126,1)+1,2)-INDEX('Step 4 Stage Discharge'!E$26:F$126,MATCH(C687,'Step 4 Stage Discharge'!E$26:E$126,1),2))*(C687-INDEX('Step 4 Stage Discharge'!E$26:F$126,MATCH(C687,'Step 4 Stage Discharge'!E$26:E$126,1),1))/(INDEX('Step 4 Stage Discharge'!E$26:F$126,MATCH(C687,'Step 4 Stage Discharge'!E$26:E$126,1)+1,1)-INDEX('Step 4 Stage Discharge'!E$26:F$126,MATCH(C687,'Step 4 Stage Discharge'!E$26:E$126,1),1))</f>
        <v>0</v>
      </c>
      <c r="E687" s="219">
        <f>INDEX('Step 4 Stage Discharge'!E$26:M$126,MATCH(C687,'Step 4 Stage Discharge'!E$26:E$126,1),9)+(INDEX('Step 4 Stage Discharge'!E$26:M$126,MATCH('Step 6 Quality Check'!C687,'Step 4 Stage Discharge'!E$26:E$126,1)+1,9)-INDEX('Step 4 Stage Discharge'!E$26:M$126,MATCH('Step 6 Quality Check'!C687,'Step 4 Stage Discharge'!E$26:E$126,1),9))*('Step 6 Quality Check'!C687-INDEX('Step 4 Stage Discharge'!E$26:M$126,MATCH('Step 6 Quality Check'!C687,'Step 4 Stage Discharge'!E$26:E$126,1),1))/(INDEX('Step 4 Stage Discharge'!E$26:M$126,MATCH('Step 6 Quality Check'!C687,'Step 4 Stage Discharge'!E$26:E$126,1)+1,1)-INDEX('Step 4 Stage Discharge'!E$26:M$126,MATCH('Step 6 Quality Check'!C687,'Step 4 Stage Discharge'!E$26:E$126,1),1))</f>
        <v>4.3639431710317386E-3</v>
      </c>
      <c r="F687" s="218">
        <f t="shared" si="50"/>
        <v>0</v>
      </c>
      <c r="G687" s="218">
        <f t="shared" si="51"/>
        <v>0</v>
      </c>
    </row>
    <row r="688" spans="1:7">
      <c r="A688" s="217">
        <f t="shared" si="52"/>
        <v>3360</v>
      </c>
      <c r="B688" s="216">
        <f t="shared" si="53"/>
        <v>99.1</v>
      </c>
      <c r="C688" s="218">
        <f t="shared" si="54"/>
        <v>0</v>
      </c>
      <c r="D688" s="219">
        <f>INDEX('Step 4 Stage Discharge'!E$26:F$126,MATCH(C688,'Step 4 Stage Discharge'!E$26:E$126,1),2)+(INDEX('Step 4 Stage Discharge'!E$26:F$126,MATCH(C688,'Step 4 Stage Discharge'!E$26:E$126,1)+1,2)-INDEX('Step 4 Stage Discharge'!E$26:F$126,MATCH(C688,'Step 4 Stage Discharge'!E$26:E$126,1),2))*(C688-INDEX('Step 4 Stage Discharge'!E$26:F$126,MATCH(C688,'Step 4 Stage Discharge'!E$26:E$126,1),1))/(INDEX('Step 4 Stage Discharge'!E$26:F$126,MATCH(C688,'Step 4 Stage Discharge'!E$26:E$126,1)+1,1)-INDEX('Step 4 Stage Discharge'!E$26:F$126,MATCH(C688,'Step 4 Stage Discharge'!E$26:E$126,1),1))</f>
        <v>0</v>
      </c>
      <c r="E688" s="219">
        <f>INDEX('Step 4 Stage Discharge'!E$26:M$126,MATCH(C688,'Step 4 Stage Discharge'!E$26:E$126,1),9)+(INDEX('Step 4 Stage Discharge'!E$26:M$126,MATCH('Step 6 Quality Check'!C688,'Step 4 Stage Discharge'!E$26:E$126,1)+1,9)-INDEX('Step 4 Stage Discharge'!E$26:M$126,MATCH('Step 6 Quality Check'!C688,'Step 4 Stage Discharge'!E$26:E$126,1),9))*('Step 6 Quality Check'!C688-INDEX('Step 4 Stage Discharge'!E$26:M$126,MATCH('Step 6 Quality Check'!C688,'Step 4 Stage Discharge'!E$26:E$126,1),1))/(INDEX('Step 4 Stage Discharge'!E$26:M$126,MATCH('Step 6 Quality Check'!C688,'Step 4 Stage Discharge'!E$26:E$126,1)+1,1)-INDEX('Step 4 Stage Discharge'!E$26:M$126,MATCH('Step 6 Quality Check'!C688,'Step 4 Stage Discharge'!E$26:E$126,1),1))</f>
        <v>4.3639431710317386E-3</v>
      </c>
      <c r="F688" s="218">
        <f t="shared" si="50"/>
        <v>0</v>
      </c>
      <c r="G688" s="218">
        <f t="shared" si="51"/>
        <v>0</v>
      </c>
    </row>
    <row r="689" spans="1:7">
      <c r="A689" s="217">
        <f t="shared" si="52"/>
        <v>3365</v>
      </c>
      <c r="B689" s="216">
        <f t="shared" si="53"/>
        <v>99.1</v>
      </c>
      <c r="C689" s="218">
        <f t="shared" si="54"/>
        <v>0</v>
      </c>
      <c r="D689" s="219">
        <f>INDEX('Step 4 Stage Discharge'!E$26:F$126,MATCH(C689,'Step 4 Stage Discharge'!E$26:E$126,1),2)+(INDEX('Step 4 Stage Discharge'!E$26:F$126,MATCH(C689,'Step 4 Stage Discharge'!E$26:E$126,1)+1,2)-INDEX('Step 4 Stage Discharge'!E$26:F$126,MATCH(C689,'Step 4 Stage Discharge'!E$26:E$126,1),2))*(C689-INDEX('Step 4 Stage Discharge'!E$26:F$126,MATCH(C689,'Step 4 Stage Discharge'!E$26:E$126,1),1))/(INDEX('Step 4 Stage Discharge'!E$26:F$126,MATCH(C689,'Step 4 Stage Discharge'!E$26:E$126,1)+1,1)-INDEX('Step 4 Stage Discharge'!E$26:F$126,MATCH(C689,'Step 4 Stage Discharge'!E$26:E$126,1),1))</f>
        <v>0</v>
      </c>
      <c r="E689" s="219">
        <f>INDEX('Step 4 Stage Discharge'!E$26:M$126,MATCH(C689,'Step 4 Stage Discharge'!E$26:E$126,1),9)+(INDEX('Step 4 Stage Discharge'!E$26:M$126,MATCH('Step 6 Quality Check'!C689,'Step 4 Stage Discharge'!E$26:E$126,1)+1,9)-INDEX('Step 4 Stage Discharge'!E$26:M$126,MATCH('Step 6 Quality Check'!C689,'Step 4 Stage Discharge'!E$26:E$126,1),9))*('Step 6 Quality Check'!C689-INDEX('Step 4 Stage Discharge'!E$26:M$126,MATCH('Step 6 Quality Check'!C689,'Step 4 Stage Discharge'!E$26:E$126,1),1))/(INDEX('Step 4 Stage Discharge'!E$26:M$126,MATCH('Step 6 Quality Check'!C689,'Step 4 Stage Discharge'!E$26:E$126,1)+1,1)-INDEX('Step 4 Stage Discharge'!E$26:M$126,MATCH('Step 6 Quality Check'!C689,'Step 4 Stage Discharge'!E$26:E$126,1),1))</f>
        <v>4.3639431710317386E-3</v>
      </c>
      <c r="F689" s="218">
        <f t="shared" si="50"/>
        <v>0</v>
      </c>
      <c r="G689" s="218">
        <f t="shared" si="51"/>
        <v>0</v>
      </c>
    </row>
    <row r="690" spans="1:7">
      <c r="A690" s="217">
        <f t="shared" si="52"/>
        <v>3370</v>
      </c>
      <c r="B690" s="216">
        <f t="shared" si="53"/>
        <v>99.1</v>
      </c>
      <c r="C690" s="218">
        <f t="shared" si="54"/>
        <v>0</v>
      </c>
      <c r="D690" s="219">
        <f>INDEX('Step 4 Stage Discharge'!E$26:F$126,MATCH(C690,'Step 4 Stage Discharge'!E$26:E$126,1),2)+(INDEX('Step 4 Stage Discharge'!E$26:F$126,MATCH(C690,'Step 4 Stage Discharge'!E$26:E$126,1)+1,2)-INDEX('Step 4 Stage Discharge'!E$26:F$126,MATCH(C690,'Step 4 Stage Discharge'!E$26:E$126,1),2))*(C690-INDEX('Step 4 Stage Discharge'!E$26:F$126,MATCH(C690,'Step 4 Stage Discharge'!E$26:E$126,1),1))/(INDEX('Step 4 Stage Discharge'!E$26:F$126,MATCH(C690,'Step 4 Stage Discharge'!E$26:E$126,1)+1,1)-INDEX('Step 4 Stage Discharge'!E$26:F$126,MATCH(C690,'Step 4 Stage Discharge'!E$26:E$126,1),1))</f>
        <v>0</v>
      </c>
      <c r="E690" s="219">
        <f>INDEX('Step 4 Stage Discharge'!E$26:M$126,MATCH(C690,'Step 4 Stage Discharge'!E$26:E$126,1),9)+(INDEX('Step 4 Stage Discharge'!E$26:M$126,MATCH('Step 6 Quality Check'!C690,'Step 4 Stage Discharge'!E$26:E$126,1)+1,9)-INDEX('Step 4 Stage Discharge'!E$26:M$126,MATCH('Step 6 Quality Check'!C690,'Step 4 Stage Discharge'!E$26:E$126,1),9))*('Step 6 Quality Check'!C690-INDEX('Step 4 Stage Discharge'!E$26:M$126,MATCH('Step 6 Quality Check'!C690,'Step 4 Stage Discharge'!E$26:E$126,1),1))/(INDEX('Step 4 Stage Discharge'!E$26:M$126,MATCH('Step 6 Quality Check'!C690,'Step 4 Stage Discharge'!E$26:E$126,1)+1,1)-INDEX('Step 4 Stage Discharge'!E$26:M$126,MATCH('Step 6 Quality Check'!C690,'Step 4 Stage Discharge'!E$26:E$126,1),1))</f>
        <v>4.3639431710317386E-3</v>
      </c>
      <c r="F690" s="218">
        <f t="shared" si="50"/>
        <v>0</v>
      </c>
      <c r="G690" s="218">
        <f t="shared" si="51"/>
        <v>0</v>
      </c>
    </row>
    <row r="691" spans="1:7">
      <c r="A691" s="217">
        <f t="shared" si="52"/>
        <v>3375</v>
      </c>
      <c r="B691" s="216">
        <f t="shared" si="53"/>
        <v>99.1</v>
      </c>
      <c r="C691" s="218">
        <f t="shared" si="54"/>
        <v>0</v>
      </c>
      <c r="D691" s="219">
        <f>INDEX('Step 4 Stage Discharge'!E$26:F$126,MATCH(C691,'Step 4 Stage Discharge'!E$26:E$126,1),2)+(INDEX('Step 4 Stage Discharge'!E$26:F$126,MATCH(C691,'Step 4 Stage Discharge'!E$26:E$126,1)+1,2)-INDEX('Step 4 Stage Discharge'!E$26:F$126,MATCH(C691,'Step 4 Stage Discharge'!E$26:E$126,1),2))*(C691-INDEX('Step 4 Stage Discharge'!E$26:F$126,MATCH(C691,'Step 4 Stage Discharge'!E$26:E$126,1),1))/(INDEX('Step 4 Stage Discharge'!E$26:F$126,MATCH(C691,'Step 4 Stage Discharge'!E$26:E$126,1)+1,1)-INDEX('Step 4 Stage Discharge'!E$26:F$126,MATCH(C691,'Step 4 Stage Discharge'!E$26:E$126,1),1))</f>
        <v>0</v>
      </c>
      <c r="E691" s="219">
        <f>INDEX('Step 4 Stage Discharge'!E$26:M$126,MATCH(C691,'Step 4 Stage Discharge'!E$26:E$126,1),9)+(INDEX('Step 4 Stage Discharge'!E$26:M$126,MATCH('Step 6 Quality Check'!C691,'Step 4 Stage Discharge'!E$26:E$126,1)+1,9)-INDEX('Step 4 Stage Discharge'!E$26:M$126,MATCH('Step 6 Quality Check'!C691,'Step 4 Stage Discharge'!E$26:E$126,1),9))*('Step 6 Quality Check'!C691-INDEX('Step 4 Stage Discharge'!E$26:M$126,MATCH('Step 6 Quality Check'!C691,'Step 4 Stage Discharge'!E$26:E$126,1),1))/(INDEX('Step 4 Stage Discharge'!E$26:M$126,MATCH('Step 6 Quality Check'!C691,'Step 4 Stage Discharge'!E$26:E$126,1)+1,1)-INDEX('Step 4 Stage Discharge'!E$26:M$126,MATCH('Step 6 Quality Check'!C691,'Step 4 Stage Discharge'!E$26:E$126,1),1))</f>
        <v>4.3639431710317386E-3</v>
      </c>
      <c r="F691" s="218">
        <f t="shared" si="50"/>
        <v>0</v>
      </c>
      <c r="G691" s="218">
        <f t="shared" si="51"/>
        <v>0</v>
      </c>
    </row>
    <row r="692" spans="1:7">
      <c r="A692" s="217">
        <f t="shared" si="52"/>
        <v>3380</v>
      </c>
      <c r="B692" s="216">
        <f t="shared" si="53"/>
        <v>99.1</v>
      </c>
      <c r="C692" s="218">
        <f t="shared" si="54"/>
        <v>0</v>
      </c>
      <c r="D692" s="219">
        <f>INDEX('Step 4 Stage Discharge'!E$26:F$126,MATCH(C692,'Step 4 Stage Discharge'!E$26:E$126,1),2)+(INDEX('Step 4 Stage Discharge'!E$26:F$126,MATCH(C692,'Step 4 Stage Discharge'!E$26:E$126,1)+1,2)-INDEX('Step 4 Stage Discharge'!E$26:F$126,MATCH(C692,'Step 4 Stage Discharge'!E$26:E$126,1),2))*(C692-INDEX('Step 4 Stage Discharge'!E$26:F$126,MATCH(C692,'Step 4 Stage Discharge'!E$26:E$126,1),1))/(INDEX('Step 4 Stage Discharge'!E$26:F$126,MATCH(C692,'Step 4 Stage Discharge'!E$26:E$126,1)+1,1)-INDEX('Step 4 Stage Discharge'!E$26:F$126,MATCH(C692,'Step 4 Stage Discharge'!E$26:E$126,1),1))</f>
        <v>0</v>
      </c>
      <c r="E692" s="219">
        <f>INDEX('Step 4 Stage Discharge'!E$26:M$126,MATCH(C692,'Step 4 Stage Discharge'!E$26:E$126,1),9)+(INDEX('Step 4 Stage Discharge'!E$26:M$126,MATCH('Step 6 Quality Check'!C692,'Step 4 Stage Discharge'!E$26:E$126,1)+1,9)-INDEX('Step 4 Stage Discharge'!E$26:M$126,MATCH('Step 6 Quality Check'!C692,'Step 4 Stage Discharge'!E$26:E$126,1),9))*('Step 6 Quality Check'!C692-INDEX('Step 4 Stage Discharge'!E$26:M$126,MATCH('Step 6 Quality Check'!C692,'Step 4 Stage Discharge'!E$26:E$126,1),1))/(INDEX('Step 4 Stage Discharge'!E$26:M$126,MATCH('Step 6 Quality Check'!C692,'Step 4 Stage Discharge'!E$26:E$126,1)+1,1)-INDEX('Step 4 Stage Discharge'!E$26:M$126,MATCH('Step 6 Quality Check'!C692,'Step 4 Stage Discharge'!E$26:E$126,1),1))</f>
        <v>4.3639431710317386E-3</v>
      </c>
      <c r="F692" s="218">
        <f t="shared" si="50"/>
        <v>0</v>
      </c>
      <c r="G692" s="218">
        <f t="shared" si="51"/>
        <v>0</v>
      </c>
    </row>
    <row r="693" spans="1:7">
      <c r="A693" s="217">
        <f t="shared" si="52"/>
        <v>3385</v>
      </c>
      <c r="B693" s="216">
        <f t="shared" si="53"/>
        <v>99.1</v>
      </c>
      <c r="C693" s="218">
        <f t="shared" si="54"/>
        <v>0</v>
      </c>
      <c r="D693" s="219">
        <f>INDEX('Step 4 Stage Discharge'!E$26:F$126,MATCH(C693,'Step 4 Stage Discharge'!E$26:E$126,1),2)+(INDEX('Step 4 Stage Discharge'!E$26:F$126,MATCH(C693,'Step 4 Stage Discharge'!E$26:E$126,1)+1,2)-INDEX('Step 4 Stage Discharge'!E$26:F$126,MATCH(C693,'Step 4 Stage Discharge'!E$26:E$126,1),2))*(C693-INDEX('Step 4 Stage Discharge'!E$26:F$126,MATCH(C693,'Step 4 Stage Discharge'!E$26:E$126,1),1))/(INDEX('Step 4 Stage Discharge'!E$26:F$126,MATCH(C693,'Step 4 Stage Discharge'!E$26:E$126,1)+1,1)-INDEX('Step 4 Stage Discharge'!E$26:F$126,MATCH(C693,'Step 4 Stage Discharge'!E$26:E$126,1),1))</f>
        <v>0</v>
      </c>
      <c r="E693" s="219">
        <f>INDEX('Step 4 Stage Discharge'!E$26:M$126,MATCH(C693,'Step 4 Stage Discharge'!E$26:E$126,1),9)+(INDEX('Step 4 Stage Discharge'!E$26:M$126,MATCH('Step 6 Quality Check'!C693,'Step 4 Stage Discharge'!E$26:E$126,1)+1,9)-INDEX('Step 4 Stage Discharge'!E$26:M$126,MATCH('Step 6 Quality Check'!C693,'Step 4 Stage Discharge'!E$26:E$126,1),9))*('Step 6 Quality Check'!C693-INDEX('Step 4 Stage Discharge'!E$26:M$126,MATCH('Step 6 Quality Check'!C693,'Step 4 Stage Discharge'!E$26:E$126,1),1))/(INDEX('Step 4 Stage Discharge'!E$26:M$126,MATCH('Step 6 Quality Check'!C693,'Step 4 Stage Discharge'!E$26:E$126,1)+1,1)-INDEX('Step 4 Stage Discharge'!E$26:M$126,MATCH('Step 6 Quality Check'!C693,'Step 4 Stage Discharge'!E$26:E$126,1),1))</f>
        <v>4.3639431710317386E-3</v>
      </c>
      <c r="F693" s="218">
        <f t="shared" si="50"/>
        <v>0</v>
      </c>
      <c r="G693" s="218">
        <f t="shared" si="51"/>
        <v>0</v>
      </c>
    </row>
    <row r="694" spans="1:7">
      <c r="A694" s="217">
        <f t="shared" si="52"/>
        <v>3390</v>
      </c>
      <c r="B694" s="216">
        <f t="shared" si="53"/>
        <v>99.1</v>
      </c>
      <c r="C694" s="218">
        <f t="shared" si="54"/>
        <v>0</v>
      </c>
      <c r="D694" s="219">
        <f>INDEX('Step 4 Stage Discharge'!E$26:F$126,MATCH(C694,'Step 4 Stage Discharge'!E$26:E$126,1),2)+(INDEX('Step 4 Stage Discharge'!E$26:F$126,MATCH(C694,'Step 4 Stage Discharge'!E$26:E$126,1)+1,2)-INDEX('Step 4 Stage Discharge'!E$26:F$126,MATCH(C694,'Step 4 Stage Discharge'!E$26:E$126,1),2))*(C694-INDEX('Step 4 Stage Discharge'!E$26:F$126,MATCH(C694,'Step 4 Stage Discharge'!E$26:E$126,1),1))/(INDEX('Step 4 Stage Discharge'!E$26:F$126,MATCH(C694,'Step 4 Stage Discharge'!E$26:E$126,1)+1,1)-INDEX('Step 4 Stage Discharge'!E$26:F$126,MATCH(C694,'Step 4 Stage Discharge'!E$26:E$126,1),1))</f>
        <v>0</v>
      </c>
      <c r="E694" s="219">
        <f>INDEX('Step 4 Stage Discharge'!E$26:M$126,MATCH(C694,'Step 4 Stage Discharge'!E$26:E$126,1),9)+(INDEX('Step 4 Stage Discharge'!E$26:M$126,MATCH('Step 6 Quality Check'!C694,'Step 4 Stage Discharge'!E$26:E$126,1)+1,9)-INDEX('Step 4 Stage Discharge'!E$26:M$126,MATCH('Step 6 Quality Check'!C694,'Step 4 Stage Discharge'!E$26:E$126,1),9))*('Step 6 Quality Check'!C694-INDEX('Step 4 Stage Discharge'!E$26:M$126,MATCH('Step 6 Quality Check'!C694,'Step 4 Stage Discharge'!E$26:E$126,1),1))/(INDEX('Step 4 Stage Discharge'!E$26:M$126,MATCH('Step 6 Quality Check'!C694,'Step 4 Stage Discharge'!E$26:E$126,1)+1,1)-INDEX('Step 4 Stage Discharge'!E$26:M$126,MATCH('Step 6 Quality Check'!C694,'Step 4 Stage Discharge'!E$26:E$126,1),1))</f>
        <v>4.3639431710317386E-3</v>
      </c>
      <c r="F694" s="218">
        <f t="shared" si="50"/>
        <v>0</v>
      </c>
      <c r="G694" s="218">
        <f t="shared" si="51"/>
        <v>0</v>
      </c>
    </row>
    <row r="695" spans="1:7">
      <c r="A695" s="217">
        <f t="shared" si="52"/>
        <v>3395</v>
      </c>
      <c r="B695" s="216">
        <f t="shared" si="53"/>
        <v>99.1</v>
      </c>
      <c r="C695" s="218">
        <f t="shared" si="54"/>
        <v>0</v>
      </c>
      <c r="D695" s="219">
        <f>INDEX('Step 4 Stage Discharge'!E$26:F$126,MATCH(C695,'Step 4 Stage Discharge'!E$26:E$126,1),2)+(INDEX('Step 4 Stage Discharge'!E$26:F$126,MATCH(C695,'Step 4 Stage Discharge'!E$26:E$126,1)+1,2)-INDEX('Step 4 Stage Discharge'!E$26:F$126,MATCH(C695,'Step 4 Stage Discharge'!E$26:E$126,1),2))*(C695-INDEX('Step 4 Stage Discharge'!E$26:F$126,MATCH(C695,'Step 4 Stage Discharge'!E$26:E$126,1),1))/(INDEX('Step 4 Stage Discharge'!E$26:F$126,MATCH(C695,'Step 4 Stage Discharge'!E$26:E$126,1)+1,1)-INDEX('Step 4 Stage Discharge'!E$26:F$126,MATCH(C695,'Step 4 Stage Discharge'!E$26:E$126,1),1))</f>
        <v>0</v>
      </c>
      <c r="E695" s="219">
        <f>INDEX('Step 4 Stage Discharge'!E$26:M$126,MATCH(C695,'Step 4 Stage Discharge'!E$26:E$126,1),9)+(INDEX('Step 4 Stage Discharge'!E$26:M$126,MATCH('Step 6 Quality Check'!C695,'Step 4 Stage Discharge'!E$26:E$126,1)+1,9)-INDEX('Step 4 Stage Discharge'!E$26:M$126,MATCH('Step 6 Quality Check'!C695,'Step 4 Stage Discharge'!E$26:E$126,1),9))*('Step 6 Quality Check'!C695-INDEX('Step 4 Stage Discharge'!E$26:M$126,MATCH('Step 6 Quality Check'!C695,'Step 4 Stage Discharge'!E$26:E$126,1),1))/(INDEX('Step 4 Stage Discharge'!E$26:M$126,MATCH('Step 6 Quality Check'!C695,'Step 4 Stage Discharge'!E$26:E$126,1)+1,1)-INDEX('Step 4 Stage Discharge'!E$26:M$126,MATCH('Step 6 Quality Check'!C695,'Step 4 Stage Discharge'!E$26:E$126,1),1))</f>
        <v>4.3639431710317386E-3</v>
      </c>
      <c r="F695" s="218">
        <f t="shared" si="50"/>
        <v>0</v>
      </c>
      <c r="G695" s="218">
        <f t="shared" si="51"/>
        <v>0</v>
      </c>
    </row>
    <row r="696" spans="1:7">
      <c r="A696" s="217">
        <f t="shared" si="52"/>
        <v>3400</v>
      </c>
      <c r="B696" s="216">
        <f t="shared" si="53"/>
        <v>99.1</v>
      </c>
      <c r="C696" s="218">
        <f t="shared" si="54"/>
        <v>0</v>
      </c>
      <c r="D696" s="219">
        <f>INDEX('Step 4 Stage Discharge'!E$26:F$126,MATCH(C696,'Step 4 Stage Discharge'!E$26:E$126,1),2)+(INDEX('Step 4 Stage Discharge'!E$26:F$126,MATCH(C696,'Step 4 Stage Discharge'!E$26:E$126,1)+1,2)-INDEX('Step 4 Stage Discharge'!E$26:F$126,MATCH(C696,'Step 4 Stage Discharge'!E$26:E$126,1),2))*(C696-INDEX('Step 4 Stage Discharge'!E$26:F$126,MATCH(C696,'Step 4 Stage Discharge'!E$26:E$126,1),1))/(INDEX('Step 4 Stage Discharge'!E$26:F$126,MATCH(C696,'Step 4 Stage Discharge'!E$26:E$126,1)+1,1)-INDEX('Step 4 Stage Discharge'!E$26:F$126,MATCH(C696,'Step 4 Stage Discharge'!E$26:E$126,1),1))</f>
        <v>0</v>
      </c>
      <c r="E696" s="219">
        <f>INDEX('Step 4 Stage Discharge'!E$26:M$126,MATCH(C696,'Step 4 Stage Discharge'!E$26:E$126,1),9)+(INDEX('Step 4 Stage Discharge'!E$26:M$126,MATCH('Step 6 Quality Check'!C696,'Step 4 Stage Discharge'!E$26:E$126,1)+1,9)-INDEX('Step 4 Stage Discharge'!E$26:M$126,MATCH('Step 6 Quality Check'!C696,'Step 4 Stage Discharge'!E$26:E$126,1),9))*('Step 6 Quality Check'!C696-INDEX('Step 4 Stage Discharge'!E$26:M$126,MATCH('Step 6 Quality Check'!C696,'Step 4 Stage Discharge'!E$26:E$126,1),1))/(INDEX('Step 4 Stage Discharge'!E$26:M$126,MATCH('Step 6 Quality Check'!C696,'Step 4 Stage Discharge'!E$26:E$126,1)+1,1)-INDEX('Step 4 Stage Discharge'!E$26:M$126,MATCH('Step 6 Quality Check'!C696,'Step 4 Stage Discharge'!E$26:E$126,1),1))</f>
        <v>4.3639431710317386E-3</v>
      </c>
      <c r="F696" s="218">
        <f t="shared" si="50"/>
        <v>0</v>
      </c>
      <c r="G696" s="218">
        <f t="shared" si="51"/>
        <v>0</v>
      </c>
    </row>
    <row r="697" spans="1:7">
      <c r="A697" s="217">
        <f t="shared" si="52"/>
        <v>3405</v>
      </c>
      <c r="B697" s="216">
        <f t="shared" si="53"/>
        <v>99.1</v>
      </c>
      <c r="C697" s="218">
        <f t="shared" si="54"/>
        <v>0</v>
      </c>
      <c r="D697" s="219">
        <f>INDEX('Step 4 Stage Discharge'!E$26:F$126,MATCH(C697,'Step 4 Stage Discharge'!E$26:E$126,1),2)+(INDEX('Step 4 Stage Discharge'!E$26:F$126,MATCH(C697,'Step 4 Stage Discharge'!E$26:E$126,1)+1,2)-INDEX('Step 4 Stage Discharge'!E$26:F$126,MATCH(C697,'Step 4 Stage Discharge'!E$26:E$126,1),2))*(C697-INDEX('Step 4 Stage Discharge'!E$26:F$126,MATCH(C697,'Step 4 Stage Discharge'!E$26:E$126,1),1))/(INDEX('Step 4 Stage Discharge'!E$26:F$126,MATCH(C697,'Step 4 Stage Discharge'!E$26:E$126,1)+1,1)-INDEX('Step 4 Stage Discharge'!E$26:F$126,MATCH(C697,'Step 4 Stage Discharge'!E$26:E$126,1),1))</f>
        <v>0</v>
      </c>
      <c r="E697" s="219">
        <f>INDEX('Step 4 Stage Discharge'!E$26:M$126,MATCH(C697,'Step 4 Stage Discharge'!E$26:E$126,1),9)+(INDEX('Step 4 Stage Discharge'!E$26:M$126,MATCH('Step 6 Quality Check'!C697,'Step 4 Stage Discharge'!E$26:E$126,1)+1,9)-INDEX('Step 4 Stage Discharge'!E$26:M$126,MATCH('Step 6 Quality Check'!C697,'Step 4 Stage Discharge'!E$26:E$126,1),9))*('Step 6 Quality Check'!C697-INDEX('Step 4 Stage Discharge'!E$26:M$126,MATCH('Step 6 Quality Check'!C697,'Step 4 Stage Discharge'!E$26:E$126,1),1))/(INDEX('Step 4 Stage Discharge'!E$26:M$126,MATCH('Step 6 Quality Check'!C697,'Step 4 Stage Discharge'!E$26:E$126,1)+1,1)-INDEX('Step 4 Stage Discharge'!E$26:M$126,MATCH('Step 6 Quality Check'!C697,'Step 4 Stage Discharge'!E$26:E$126,1),1))</f>
        <v>4.3639431710317386E-3</v>
      </c>
      <c r="F697" s="218">
        <f t="shared" si="50"/>
        <v>0</v>
      </c>
      <c r="G697" s="218">
        <f t="shared" si="51"/>
        <v>0</v>
      </c>
    </row>
    <row r="698" spans="1:7">
      <c r="A698" s="217">
        <f t="shared" si="52"/>
        <v>3410</v>
      </c>
      <c r="B698" s="216">
        <f t="shared" si="53"/>
        <v>99.1</v>
      </c>
      <c r="C698" s="218">
        <f t="shared" si="54"/>
        <v>0</v>
      </c>
      <c r="D698" s="219">
        <f>INDEX('Step 4 Stage Discharge'!E$26:F$126,MATCH(C698,'Step 4 Stage Discharge'!E$26:E$126,1),2)+(INDEX('Step 4 Stage Discharge'!E$26:F$126,MATCH(C698,'Step 4 Stage Discharge'!E$26:E$126,1)+1,2)-INDEX('Step 4 Stage Discharge'!E$26:F$126,MATCH(C698,'Step 4 Stage Discharge'!E$26:E$126,1),2))*(C698-INDEX('Step 4 Stage Discharge'!E$26:F$126,MATCH(C698,'Step 4 Stage Discharge'!E$26:E$126,1),1))/(INDEX('Step 4 Stage Discharge'!E$26:F$126,MATCH(C698,'Step 4 Stage Discharge'!E$26:E$126,1)+1,1)-INDEX('Step 4 Stage Discharge'!E$26:F$126,MATCH(C698,'Step 4 Stage Discharge'!E$26:E$126,1),1))</f>
        <v>0</v>
      </c>
      <c r="E698" s="219">
        <f>INDEX('Step 4 Stage Discharge'!E$26:M$126,MATCH(C698,'Step 4 Stage Discharge'!E$26:E$126,1),9)+(INDEX('Step 4 Stage Discharge'!E$26:M$126,MATCH('Step 6 Quality Check'!C698,'Step 4 Stage Discharge'!E$26:E$126,1)+1,9)-INDEX('Step 4 Stage Discharge'!E$26:M$126,MATCH('Step 6 Quality Check'!C698,'Step 4 Stage Discharge'!E$26:E$126,1),9))*('Step 6 Quality Check'!C698-INDEX('Step 4 Stage Discharge'!E$26:M$126,MATCH('Step 6 Quality Check'!C698,'Step 4 Stage Discharge'!E$26:E$126,1),1))/(INDEX('Step 4 Stage Discharge'!E$26:M$126,MATCH('Step 6 Quality Check'!C698,'Step 4 Stage Discharge'!E$26:E$126,1)+1,1)-INDEX('Step 4 Stage Discharge'!E$26:M$126,MATCH('Step 6 Quality Check'!C698,'Step 4 Stage Discharge'!E$26:E$126,1),1))</f>
        <v>4.3639431710317386E-3</v>
      </c>
      <c r="F698" s="218">
        <f t="shared" si="50"/>
        <v>0</v>
      </c>
      <c r="G698" s="218">
        <f t="shared" si="51"/>
        <v>0</v>
      </c>
    </row>
    <row r="699" spans="1:7">
      <c r="A699" s="217">
        <f t="shared" si="52"/>
        <v>3415</v>
      </c>
      <c r="B699" s="216">
        <f t="shared" si="53"/>
        <v>99.1</v>
      </c>
      <c r="C699" s="218">
        <f t="shared" si="54"/>
        <v>0</v>
      </c>
      <c r="D699" s="219">
        <f>INDEX('Step 4 Stage Discharge'!E$26:F$126,MATCH(C699,'Step 4 Stage Discharge'!E$26:E$126,1),2)+(INDEX('Step 4 Stage Discharge'!E$26:F$126,MATCH(C699,'Step 4 Stage Discharge'!E$26:E$126,1)+1,2)-INDEX('Step 4 Stage Discharge'!E$26:F$126,MATCH(C699,'Step 4 Stage Discharge'!E$26:E$126,1),2))*(C699-INDEX('Step 4 Stage Discharge'!E$26:F$126,MATCH(C699,'Step 4 Stage Discharge'!E$26:E$126,1),1))/(INDEX('Step 4 Stage Discharge'!E$26:F$126,MATCH(C699,'Step 4 Stage Discharge'!E$26:E$126,1)+1,1)-INDEX('Step 4 Stage Discharge'!E$26:F$126,MATCH(C699,'Step 4 Stage Discharge'!E$26:E$126,1),1))</f>
        <v>0</v>
      </c>
      <c r="E699" s="219">
        <f>INDEX('Step 4 Stage Discharge'!E$26:M$126,MATCH(C699,'Step 4 Stage Discharge'!E$26:E$126,1),9)+(INDEX('Step 4 Stage Discharge'!E$26:M$126,MATCH('Step 6 Quality Check'!C699,'Step 4 Stage Discharge'!E$26:E$126,1)+1,9)-INDEX('Step 4 Stage Discharge'!E$26:M$126,MATCH('Step 6 Quality Check'!C699,'Step 4 Stage Discharge'!E$26:E$126,1),9))*('Step 6 Quality Check'!C699-INDEX('Step 4 Stage Discharge'!E$26:M$126,MATCH('Step 6 Quality Check'!C699,'Step 4 Stage Discharge'!E$26:E$126,1),1))/(INDEX('Step 4 Stage Discharge'!E$26:M$126,MATCH('Step 6 Quality Check'!C699,'Step 4 Stage Discharge'!E$26:E$126,1)+1,1)-INDEX('Step 4 Stage Discharge'!E$26:M$126,MATCH('Step 6 Quality Check'!C699,'Step 4 Stage Discharge'!E$26:E$126,1),1))</f>
        <v>4.3639431710317386E-3</v>
      </c>
      <c r="F699" s="218">
        <f t="shared" si="50"/>
        <v>0</v>
      </c>
      <c r="G699" s="218">
        <f t="shared" si="51"/>
        <v>0</v>
      </c>
    </row>
    <row r="700" spans="1:7">
      <c r="A700" s="217">
        <f t="shared" si="52"/>
        <v>3420</v>
      </c>
      <c r="B700" s="216">
        <f t="shared" si="53"/>
        <v>99.1</v>
      </c>
      <c r="C700" s="218">
        <f t="shared" si="54"/>
        <v>0</v>
      </c>
      <c r="D700" s="219">
        <f>INDEX('Step 4 Stage Discharge'!E$26:F$126,MATCH(C700,'Step 4 Stage Discharge'!E$26:E$126,1),2)+(INDEX('Step 4 Stage Discharge'!E$26:F$126,MATCH(C700,'Step 4 Stage Discharge'!E$26:E$126,1)+1,2)-INDEX('Step 4 Stage Discharge'!E$26:F$126,MATCH(C700,'Step 4 Stage Discharge'!E$26:E$126,1),2))*(C700-INDEX('Step 4 Stage Discharge'!E$26:F$126,MATCH(C700,'Step 4 Stage Discharge'!E$26:E$126,1),1))/(INDEX('Step 4 Stage Discharge'!E$26:F$126,MATCH(C700,'Step 4 Stage Discharge'!E$26:E$126,1)+1,1)-INDEX('Step 4 Stage Discharge'!E$26:F$126,MATCH(C700,'Step 4 Stage Discharge'!E$26:E$126,1),1))</f>
        <v>0</v>
      </c>
      <c r="E700" s="219">
        <f>INDEX('Step 4 Stage Discharge'!E$26:M$126,MATCH(C700,'Step 4 Stage Discharge'!E$26:E$126,1),9)+(INDEX('Step 4 Stage Discharge'!E$26:M$126,MATCH('Step 6 Quality Check'!C700,'Step 4 Stage Discharge'!E$26:E$126,1)+1,9)-INDEX('Step 4 Stage Discharge'!E$26:M$126,MATCH('Step 6 Quality Check'!C700,'Step 4 Stage Discharge'!E$26:E$126,1),9))*('Step 6 Quality Check'!C700-INDEX('Step 4 Stage Discharge'!E$26:M$126,MATCH('Step 6 Quality Check'!C700,'Step 4 Stage Discharge'!E$26:E$126,1),1))/(INDEX('Step 4 Stage Discharge'!E$26:M$126,MATCH('Step 6 Quality Check'!C700,'Step 4 Stage Discharge'!E$26:E$126,1)+1,1)-INDEX('Step 4 Stage Discharge'!E$26:M$126,MATCH('Step 6 Quality Check'!C700,'Step 4 Stage Discharge'!E$26:E$126,1),1))</f>
        <v>4.3639431710317386E-3</v>
      </c>
      <c r="F700" s="218">
        <f t="shared" si="50"/>
        <v>0</v>
      </c>
      <c r="G700" s="218">
        <f t="shared" si="51"/>
        <v>0</v>
      </c>
    </row>
    <row r="701" spans="1:7">
      <c r="A701" s="217">
        <f t="shared" si="52"/>
        <v>3425</v>
      </c>
      <c r="B701" s="216">
        <f t="shared" si="53"/>
        <v>99.1</v>
      </c>
      <c r="C701" s="218">
        <f t="shared" si="54"/>
        <v>0</v>
      </c>
      <c r="D701" s="219">
        <f>INDEX('Step 4 Stage Discharge'!E$26:F$126,MATCH(C701,'Step 4 Stage Discharge'!E$26:E$126,1),2)+(INDEX('Step 4 Stage Discharge'!E$26:F$126,MATCH(C701,'Step 4 Stage Discharge'!E$26:E$126,1)+1,2)-INDEX('Step 4 Stage Discharge'!E$26:F$126,MATCH(C701,'Step 4 Stage Discharge'!E$26:E$126,1),2))*(C701-INDEX('Step 4 Stage Discharge'!E$26:F$126,MATCH(C701,'Step 4 Stage Discharge'!E$26:E$126,1),1))/(INDEX('Step 4 Stage Discharge'!E$26:F$126,MATCH(C701,'Step 4 Stage Discharge'!E$26:E$126,1)+1,1)-INDEX('Step 4 Stage Discharge'!E$26:F$126,MATCH(C701,'Step 4 Stage Discharge'!E$26:E$126,1),1))</f>
        <v>0</v>
      </c>
      <c r="E701" s="219">
        <f>INDEX('Step 4 Stage Discharge'!E$26:M$126,MATCH(C701,'Step 4 Stage Discharge'!E$26:E$126,1),9)+(INDEX('Step 4 Stage Discharge'!E$26:M$126,MATCH('Step 6 Quality Check'!C701,'Step 4 Stage Discharge'!E$26:E$126,1)+1,9)-INDEX('Step 4 Stage Discharge'!E$26:M$126,MATCH('Step 6 Quality Check'!C701,'Step 4 Stage Discharge'!E$26:E$126,1),9))*('Step 6 Quality Check'!C701-INDEX('Step 4 Stage Discharge'!E$26:M$126,MATCH('Step 6 Quality Check'!C701,'Step 4 Stage Discharge'!E$26:E$126,1),1))/(INDEX('Step 4 Stage Discharge'!E$26:M$126,MATCH('Step 6 Quality Check'!C701,'Step 4 Stage Discharge'!E$26:E$126,1)+1,1)-INDEX('Step 4 Stage Discharge'!E$26:M$126,MATCH('Step 6 Quality Check'!C701,'Step 4 Stage Discharge'!E$26:E$126,1),1))</f>
        <v>4.3639431710317386E-3</v>
      </c>
      <c r="F701" s="218">
        <f t="shared" si="50"/>
        <v>0</v>
      </c>
      <c r="G701" s="218">
        <f t="shared" si="51"/>
        <v>0</v>
      </c>
    </row>
    <row r="702" spans="1:7">
      <c r="A702" s="217">
        <f t="shared" si="52"/>
        <v>3430</v>
      </c>
      <c r="B702" s="216">
        <f t="shared" si="53"/>
        <v>99.1</v>
      </c>
      <c r="C702" s="218">
        <f t="shared" si="54"/>
        <v>0</v>
      </c>
      <c r="D702" s="219">
        <f>INDEX('Step 4 Stage Discharge'!E$26:F$126,MATCH(C702,'Step 4 Stage Discharge'!E$26:E$126,1),2)+(INDEX('Step 4 Stage Discharge'!E$26:F$126,MATCH(C702,'Step 4 Stage Discharge'!E$26:E$126,1)+1,2)-INDEX('Step 4 Stage Discharge'!E$26:F$126,MATCH(C702,'Step 4 Stage Discharge'!E$26:E$126,1),2))*(C702-INDEX('Step 4 Stage Discharge'!E$26:F$126,MATCH(C702,'Step 4 Stage Discharge'!E$26:E$126,1),1))/(INDEX('Step 4 Stage Discharge'!E$26:F$126,MATCH(C702,'Step 4 Stage Discharge'!E$26:E$126,1)+1,1)-INDEX('Step 4 Stage Discharge'!E$26:F$126,MATCH(C702,'Step 4 Stage Discharge'!E$26:E$126,1),1))</f>
        <v>0</v>
      </c>
      <c r="E702" s="219">
        <f>INDEX('Step 4 Stage Discharge'!E$26:M$126,MATCH(C702,'Step 4 Stage Discharge'!E$26:E$126,1),9)+(INDEX('Step 4 Stage Discharge'!E$26:M$126,MATCH('Step 6 Quality Check'!C702,'Step 4 Stage Discharge'!E$26:E$126,1)+1,9)-INDEX('Step 4 Stage Discharge'!E$26:M$126,MATCH('Step 6 Quality Check'!C702,'Step 4 Stage Discharge'!E$26:E$126,1),9))*('Step 6 Quality Check'!C702-INDEX('Step 4 Stage Discharge'!E$26:M$126,MATCH('Step 6 Quality Check'!C702,'Step 4 Stage Discharge'!E$26:E$126,1),1))/(INDEX('Step 4 Stage Discharge'!E$26:M$126,MATCH('Step 6 Quality Check'!C702,'Step 4 Stage Discharge'!E$26:E$126,1)+1,1)-INDEX('Step 4 Stage Discharge'!E$26:M$126,MATCH('Step 6 Quality Check'!C702,'Step 4 Stage Discharge'!E$26:E$126,1),1))</f>
        <v>4.3639431710317386E-3</v>
      </c>
      <c r="F702" s="218">
        <f t="shared" si="50"/>
        <v>0</v>
      </c>
      <c r="G702" s="218">
        <f t="shared" si="51"/>
        <v>0</v>
      </c>
    </row>
    <row r="703" spans="1:7">
      <c r="A703" s="217">
        <f t="shared" si="52"/>
        <v>3435</v>
      </c>
      <c r="B703" s="216">
        <f t="shared" si="53"/>
        <v>99.1</v>
      </c>
      <c r="C703" s="218">
        <f t="shared" si="54"/>
        <v>0</v>
      </c>
      <c r="D703" s="219">
        <f>INDEX('Step 4 Stage Discharge'!E$26:F$126,MATCH(C703,'Step 4 Stage Discharge'!E$26:E$126,1),2)+(INDEX('Step 4 Stage Discharge'!E$26:F$126,MATCH(C703,'Step 4 Stage Discharge'!E$26:E$126,1)+1,2)-INDEX('Step 4 Stage Discharge'!E$26:F$126,MATCH(C703,'Step 4 Stage Discharge'!E$26:E$126,1),2))*(C703-INDEX('Step 4 Stage Discharge'!E$26:F$126,MATCH(C703,'Step 4 Stage Discharge'!E$26:E$126,1),1))/(INDEX('Step 4 Stage Discharge'!E$26:F$126,MATCH(C703,'Step 4 Stage Discharge'!E$26:E$126,1)+1,1)-INDEX('Step 4 Stage Discharge'!E$26:F$126,MATCH(C703,'Step 4 Stage Discharge'!E$26:E$126,1),1))</f>
        <v>0</v>
      </c>
      <c r="E703" s="219">
        <f>INDEX('Step 4 Stage Discharge'!E$26:M$126,MATCH(C703,'Step 4 Stage Discharge'!E$26:E$126,1),9)+(INDEX('Step 4 Stage Discharge'!E$26:M$126,MATCH('Step 6 Quality Check'!C703,'Step 4 Stage Discharge'!E$26:E$126,1)+1,9)-INDEX('Step 4 Stage Discharge'!E$26:M$126,MATCH('Step 6 Quality Check'!C703,'Step 4 Stage Discharge'!E$26:E$126,1),9))*('Step 6 Quality Check'!C703-INDEX('Step 4 Stage Discharge'!E$26:M$126,MATCH('Step 6 Quality Check'!C703,'Step 4 Stage Discharge'!E$26:E$126,1),1))/(INDEX('Step 4 Stage Discharge'!E$26:M$126,MATCH('Step 6 Quality Check'!C703,'Step 4 Stage Discharge'!E$26:E$126,1)+1,1)-INDEX('Step 4 Stage Discharge'!E$26:M$126,MATCH('Step 6 Quality Check'!C703,'Step 4 Stage Discharge'!E$26:E$126,1),1))</f>
        <v>4.3639431710317386E-3</v>
      </c>
      <c r="F703" s="218">
        <f t="shared" si="50"/>
        <v>0</v>
      </c>
      <c r="G703" s="218">
        <f t="shared" si="51"/>
        <v>0</v>
      </c>
    </row>
    <row r="704" spans="1:7">
      <c r="A704" s="217">
        <f t="shared" si="52"/>
        <v>3440</v>
      </c>
      <c r="B704" s="216">
        <f t="shared" si="53"/>
        <v>99.1</v>
      </c>
      <c r="C704" s="218">
        <f t="shared" si="54"/>
        <v>0</v>
      </c>
      <c r="D704" s="219">
        <f>INDEX('Step 4 Stage Discharge'!E$26:F$126,MATCH(C704,'Step 4 Stage Discharge'!E$26:E$126,1),2)+(INDEX('Step 4 Stage Discharge'!E$26:F$126,MATCH(C704,'Step 4 Stage Discharge'!E$26:E$126,1)+1,2)-INDEX('Step 4 Stage Discharge'!E$26:F$126,MATCH(C704,'Step 4 Stage Discharge'!E$26:E$126,1),2))*(C704-INDEX('Step 4 Stage Discharge'!E$26:F$126,MATCH(C704,'Step 4 Stage Discharge'!E$26:E$126,1),1))/(INDEX('Step 4 Stage Discharge'!E$26:F$126,MATCH(C704,'Step 4 Stage Discharge'!E$26:E$126,1)+1,1)-INDEX('Step 4 Stage Discharge'!E$26:F$126,MATCH(C704,'Step 4 Stage Discharge'!E$26:E$126,1),1))</f>
        <v>0</v>
      </c>
      <c r="E704" s="219">
        <f>INDEX('Step 4 Stage Discharge'!E$26:M$126,MATCH(C704,'Step 4 Stage Discharge'!E$26:E$126,1),9)+(INDEX('Step 4 Stage Discharge'!E$26:M$126,MATCH('Step 6 Quality Check'!C704,'Step 4 Stage Discharge'!E$26:E$126,1)+1,9)-INDEX('Step 4 Stage Discharge'!E$26:M$126,MATCH('Step 6 Quality Check'!C704,'Step 4 Stage Discharge'!E$26:E$126,1),9))*('Step 6 Quality Check'!C704-INDEX('Step 4 Stage Discharge'!E$26:M$126,MATCH('Step 6 Quality Check'!C704,'Step 4 Stage Discharge'!E$26:E$126,1),1))/(INDEX('Step 4 Stage Discharge'!E$26:M$126,MATCH('Step 6 Quality Check'!C704,'Step 4 Stage Discharge'!E$26:E$126,1)+1,1)-INDEX('Step 4 Stage Discharge'!E$26:M$126,MATCH('Step 6 Quality Check'!C704,'Step 4 Stage Discharge'!E$26:E$126,1),1))</f>
        <v>4.3639431710317386E-3</v>
      </c>
      <c r="F704" s="218">
        <f t="shared" si="50"/>
        <v>0</v>
      </c>
      <c r="G704" s="218">
        <f t="shared" si="51"/>
        <v>0</v>
      </c>
    </row>
    <row r="705" spans="1:7">
      <c r="A705" s="217">
        <f t="shared" si="52"/>
        <v>3445</v>
      </c>
      <c r="B705" s="216">
        <f t="shared" si="53"/>
        <v>99.1</v>
      </c>
      <c r="C705" s="218">
        <f t="shared" si="54"/>
        <v>0</v>
      </c>
      <c r="D705" s="219">
        <f>INDEX('Step 4 Stage Discharge'!E$26:F$126,MATCH(C705,'Step 4 Stage Discharge'!E$26:E$126,1),2)+(INDEX('Step 4 Stage Discharge'!E$26:F$126,MATCH(C705,'Step 4 Stage Discharge'!E$26:E$126,1)+1,2)-INDEX('Step 4 Stage Discharge'!E$26:F$126,MATCH(C705,'Step 4 Stage Discharge'!E$26:E$126,1),2))*(C705-INDEX('Step 4 Stage Discharge'!E$26:F$126,MATCH(C705,'Step 4 Stage Discharge'!E$26:E$126,1),1))/(INDEX('Step 4 Stage Discharge'!E$26:F$126,MATCH(C705,'Step 4 Stage Discharge'!E$26:E$126,1)+1,1)-INDEX('Step 4 Stage Discharge'!E$26:F$126,MATCH(C705,'Step 4 Stage Discharge'!E$26:E$126,1),1))</f>
        <v>0</v>
      </c>
      <c r="E705" s="219">
        <f>INDEX('Step 4 Stage Discharge'!E$26:M$126,MATCH(C705,'Step 4 Stage Discharge'!E$26:E$126,1),9)+(INDEX('Step 4 Stage Discharge'!E$26:M$126,MATCH('Step 6 Quality Check'!C705,'Step 4 Stage Discharge'!E$26:E$126,1)+1,9)-INDEX('Step 4 Stage Discharge'!E$26:M$126,MATCH('Step 6 Quality Check'!C705,'Step 4 Stage Discharge'!E$26:E$126,1),9))*('Step 6 Quality Check'!C705-INDEX('Step 4 Stage Discharge'!E$26:M$126,MATCH('Step 6 Quality Check'!C705,'Step 4 Stage Discharge'!E$26:E$126,1),1))/(INDEX('Step 4 Stage Discharge'!E$26:M$126,MATCH('Step 6 Quality Check'!C705,'Step 4 Stage Discharge'!E$26:E$126,1)+1,1)-INDEX('Step 4 Stage Discharge'!E$26:M$126,MATCH('Step 6 Quality Check'!C705,'Step 4 Stage Discharge'!E$26:E$126,1),1))</f>
        <v>4.3639431710317386E-3</v>
      </c>
      <c r="F705" s="218">
        <f t="shared" si="50"/>
        <v>0</v>
      </c>
      <c r="G705" s="218">
        <f t="shared" si="51"/>
        <v>0</v>
      </c>
    </row>
    <row r="706" spans="1:7">
      <c r="A706" s="217">
        <f t="shared" si="52"/>
        <v>3450</v>
      </c>
      <c r="B706" s="216">
        <f t="shared" si="53"/>
        <v>99.1</v>
      </c>
      <c r="C706" s="218">
        <f t="shared" si="54"/>
        <v>0</v>
      </c>
      <c r="D706" s="219">
        <f>INDEX('Step 4 Stage Discharge'!E$26:F$126,MATCH(C706,'Step 4 Stage Discharge'!E$26:E$126,1),2)+(INDEX('Step 4 Stage Discharge'!E$26:F$126,MATCH(C706,'Step 4 Stage Discharge'!E$26:E$126,1)+1,2)-INDEX('Step 4 Stage Discharge'!E$26:F$126,MATCH(C706,'Step 4 Stage Discharge'!E$26:E$126,1),2))*(C706-INDEX('Step 4 Stage Discharge'!E$26:F$126,MATCH(C706,'Step 4 Stage Discharge'!E$26:E$126,1),1))/(INDEX('Step 4 Stage Discharge'!E$26:F$126,MATCH(C706,'Step 4 Stage Discharge'!E$26:E$126,1)+1,1)-INDEX('Step 4 Stage Discharge'!E$26:F$126,MATCH(C706,'Step 4 Stage Discharge'!E$26:E$126,1),1))</f>
        <v>0</v>
      </c>
      <c r="E706" s="219">
        <f>INDEX('Step 4 Stage Discharge'!E$26:M$126,MATCH(C706,'Step 4 Stage Discharge'!E$26:E$126,1),9)+(INDEX('Step 4 Stage Discharge'!E$26:M$126,MATCH('Step 6 Quality Check'!C706,'Step 4 Stage Discharge'!E$26:E$126,1)+1,9)-INDEX('Step 4 Stage Discharge'!E$26:M$126,MATCH('Step 6 Quality Check'!C706,'Step 4 Stage Discharge'!E$26:E$126,1),9))*('Step 6 Quality Check'!C706-INDEX('Step 4 Stage Discharge'!E$26:M$126,MATCH('Step 6 Quality Check'!C706,'Step 4 Stage Discharge'!E$26:E$126,1),1))/(INDEX('Step 4 Stage Discharge'!E$26:M$126,MATCH('Step 6 Quality Check'!C706,'Step 4 Stage Discharge'!E$26:E$126,1)+1,1)-INDEX('Step 4 Stage Discharge'!E$26:M$126,MATCH('Step 6 Quality Check'!C706,'Step 4 Stage Discharge'!E$26:E$126,1),1))</f>
        <v>4.3639431710317386E-3</v>
      </c>
      <c r="F706" s="218">
        <f t="shared" si="50"/>
        <v>0</v>
      </c>
      <c r="G706" s="218">
        <f t="shared" si="51"/>
        <v>0</v>
      </c>
    </row>
    <row r="707" spans="1:7">
      <c r="A707" s="217">
        <f t="shared" si="52"/>
        <v>3455</v>
      </c>
      <c r="B707" s="216">
        <f t="shared" si="53"/>
        <v>99.1</v>
      </c>
      <c r="C707" s="218">
        <f t="shared" si="54"/>
        <v>0</v>
      </c>
      <c r="D707" s="219">
        <f>INDEX('Step 4 Stage Discharge'!E$26:F$126,MATCH(C707,'Step 4 Stage Discharge'!E$26:E$126,1),2)+(INDEX('Step 4 Stage Discharge'!E$26:F$126,MATCH(C707,'Step 4 Stage Discharge'!E$26:E$126,1)+1,2)-INDEX('Step 4 Stage Discharge'!E$26:F$126,MATCH(C707,'Step 4 Stage Discharge'!E$26:E$126,1),2))*(C707-INDEX('Step 4 Stage Discharge'!E$26:F$126,MATCH(C707,'Step 4 Stage Discharge'!E$26:E$126,1),1))/(INDEX('Step 4 Stage Discharge'!E$26:F$126,MATCH(C707,'Step 4 Stage Discharge'!E$26:E$126,1)+1,1)-INDEX('Step 4 Stage Discharge'!E$26:F$126,MATCH(C707,'Step 4 Stage Discharge'!E$26:E$126,1),1))</f>
        <v>0</v>
      </c>
      <c r="E707" s="219">
        <f>INDEX('Step 4 Stage Discharge'!E$26:M$126,MATCH(C707,'Step 4 Stage Discharge'!E$26:E$126,1),9)+(INDEX('Step 4 Stage Discharge'!E$26:M$126,MATCH('Step 6 Quality Check'!C707,'Step 4 Stage Discharge'!E$26:E$126,1)+1,9)-INDEX('Step 4 Stage Discharge'!E$26:M$126,MATCH('Step 6 Quality Check'!C707,'Step 4 Stage Discharge'!E$26:E$126,1),9))*('Step 6 Quality Check'!C707-INDEX('Step 4 Stage Discharge'!E$26:M$126,MATCH('Step 6 Quality Check'!C707,'Step 4 Stage Discharge'!E$26:E$126,1),1))/(INDEX('Step 4 Stage Discharge'!E$26:M$126,MATCH('Step 6 Quality Check'!C707,'Step 4 Stage Discharge'!E$26:E$126,1)+1,1)-INDEX('Step 4 Stage Discharge'!E$26:M$126,MATCH('Step 6 Quality Check'!C707,'Step 4 Stage Discharge'!E$26:E$126,1),1))</f>
        <v>4.3639431710317386E-3</v>
      </c>
      <c r="F707" s="218">
        <f t="shared" si="50"/>
        <v>0</v>
      </c>
      <c r="G707" s="218">
        <f t="shared" si="51"/>
        <v>0</v>
      </c>
    </row>
    <row r="708" spans="1:7">
      <c r="A708" s="217">
        <f t="shared" si="52"/>
        <v>3460</v>
      </c>
      <c r="B708" s="216">
        <f t="shared" si="53"/>
        <v>99.1</v>
      </c>
      <c r="C708" s="218">
        <f t="shared" si="54"/>
        <v>0</v>
      </c>
      <c r="D708" s="219">
        <f>INDEX('Step 4 Stage Discharge'!E$26:F$126,MATCH(C708,'Step 4 Stage Discharge'!E$26:E$126,1),2)+(INDEX('Step 4 Stage Discharge'!E$26:F$126,MATCH(C708,'Step 4 Stage Discharge'!E$26:E$126,1)+1,2)-INDEX('Step 4 Stage Discharge'!E$26:F$126,MATCH(C708,'Step 4 Stage Discharge'!E$26:E$126,1),2))*(C708-INDEX('Step 4 Stage Discharge'!E$26:F$126,MATCH(C708,'Step 4 Stage Discharge'!E$26:E$126,1),1))/(INDEX('Step 4 Stage Discharge'!E$26:F$126,MATCH(C708,'Step 4 Stage Discharge'!E$26:E$126,1)+1,1)-INDEX('Step 4 Stage Discharge'!E$26:F$126,MATCH(C708,'Step 4 Stage Discharge'!E$26:E$126,1),1))</f>
        <v>0</v>
      </c>
      <c r="E708" s="219">
        <f>INDEX('Step 4 Stage Discharge'!E$26:M$126,MATCH(C708,'Step 4 Stage Discharge'!E$26:E$126,1),9)+(INDEX('Step 4 Stage Discharge'!E$26:M$126,MATCH('Step 6 Quality Check'!C708,'Step 4 Stage Discharge'!E$26:E$126,1)+1,9)-INDEX('Step 4 Stage Discharge'!E$26:M$126,MATCH('Step 6 Quality Check'!C708,'Step 4 Stage Discharge'!E$26:E$126,1),9))*('Step 6 Quality Check'!C708-INDEX('Step 4 Stage Discharge'!E$26:M$126,MATCH('Step 6 Quality Check'!C708,'Step 4 Stage Discharge'!E$26:E$126,1),1))/(INDEX('Step 4 Stage Discharge'!E$26:M$126,MATCH('Step 6 Quality Check'!C708,'Step 4 Stage Discharge'!E$26:E$126,1)+1,1)-INDEX('Step 4 Stage Discharge'!E$26:M$126,MATCH('Step 6 Quality Check'!C708,'Step 4 Stage Discharge'!E$26:E$126,1),1))</f>
        <v>4.3639431710317386E-3</v>
      </c>
      <c r="F708" s="218">
        <f t="shared" si="50"/>
        <v>0</v>
      </c>
      <c r="G708" s="218">
        <f t="shared" si="51"/>
        <v>0</v>
      </c>
    </row>
    <row r="709" spans="1:7">
      <c r="A709" s="217">
        <f t="shared" si="52"/>
        <v>3465</v>
      </c>
      <c r="B709" s="216">
        <f t="shared" si="53"/>
        <v>99.1</v>
      </c>
      <c r="C709" s="218">
        <f t="shared" si="54"/>
        <v>0</v>
      </c>
      <c r="D709" s="219">
        <f>INDEX('Step 4 Stage Discharge'!E$26:F$126,MATCH(C709,'Step 4 Stage Discharge'!E$26:E$126,1),2)+(INDEX('Step 4 Stage Discharge'!E$26:F$126,MATCH(C709,'Step 4 Stage Discharge'!E$26:E$126,1)+1,2)-INDEX('Step 4 Stage Discharge'!E$26:F$126,MATCH(C709,'Step 4 Stage Discharge'!E$26:E$126,1),2))*(C709-INDEX('Step 4 Stage Discharge'!E$26:F$126,MATCH(C709,'Step 4 Stage Discharge'!E$26:E$126,1),1))/(INDEX('Step 4 Stage Discharge'!E$26:F$126,MATCH(C709,'Step 4 Stage Discharge'!E$26:E$126,1)+1,1)-INDEX('Step 4 Stage Discharge'!E$26:F$126,MATCH(C709,'Step 4 Stage Discharge'!E$26:E$126,1),1))</f>
        <v>0</v>
      </c>
      <c r="E709" s="219">
        <f>INDEX('Step 4 Stage Discharge'!E$26:M$126,MATCH(C709,'Step 4 Stage Discharge'!E$26:E$126,1),9)+(INDEX('Step 4 Stage Discharge'!E$26:M$126,MATCH('Step 6 Quality Check'!C709,'Step 4 Stage Discharge'!E$26:E$126,1)+1,9)-INDEX('Step 4 Stage Discharge'!E$26:M$126,MATCH('Step 6 Quality Check'!C709,'Step 4 Stage Discharge'!E$26:E$126,1),9))*('Step 6 Quality Check'!C709-INDEX('Step 4 Stage Discharge'!E$26:M$126,MATCH('Step 6 Quality Check'!C709,'Step 4 Stage Discharge'!E$26:E$126,1),1))/(INDEX('Step 4 Stage Discharge'!E$26:M$126,MATCH('Step 6 Quality Check'!C709,'Step 4 Stage Discharge'!E$26:E$126,1)+1,1)-INDEX('Step 4 Stage Discharge'!E$26:M$126,MATCH('Step 6 Quality Check'!C709,'Step 4 Stage Discharge'!E$26:E$126,1),1))</f>
        <v>4.3639431710317386E-3</v>
      </c>
      <c r="F709" s="218">
        <f t="shared" si="50"/>
        <v>0</v>
      </c>
      <c r="G709" s="218">
        <f t="shared" si="51"/>
        <v>0</v>
      </c>
    </row>
    <row r="710" spans="1:7">
      <c r="A710" s="217">
        <f t="shared" si="52"/>
        <v>3470</v>
      </c>
      <c r="B710" s="216">
        <f t="shared" si="53"/>
        <v>99.1</v>
      </c>
      <c r="C710" s="218">
        <f t="shared" si="54"/>
        <v>0</v>
      </c>
      <c r="D710" s="219">
        <f>INDEX('Step 4 Stage Discharge'!E$26:F$126,MATCH(C710,'Step 4 Stage Discharge'!E$26:E$126,1),2)+(INDEX('Step 4 Stage Discharge'!E$26:F$126,MATCH(C710,'Step 4 Stage Discharge'!E$26:E$126,1)+1,2)-INDEX('Step 4 Stage Discharge'!E$26:F$126,MATCH(C710,'Step 4 Stage Discharge'!E$26:E$126,1),2))*(C710-INDEX('Step 4 Stage Discharge'!E$26:F$126,MATCH(C710,'Step 4 Stage Discharge'!E$26:E$126,1),1))/(INDEX('Step 4 Stage Discharge'!E$26:F$126,MATCH(C710,'Step 4 Stage Discharge'!E$26:E$126,1)+1,1)-INDEX('Step 4 Stage Discharge'!E$26:F$126,MATCH(C710,'Step 4 Stage Discharge'!E$26:E$126,1),1))</f>
        <v>0</v>
      </c>
      <c r="E710" s="219">
        <f>INDEX('Step 4 Stage Discharge'!E$26:M$126,MATCH(C710,'Step 4 Stage Discharge'!E$26:E$126,1),9)+(INDEX('Step 4 Stage Discharge'!E$26:M$126,MATCH('Step 6 Quality Check'!C710,'Step 4 Stage Discharge'!E$26:E$126,1)+1,9)-INDEX('Step 4 Stage Discharge'!E$26:M$126,MATCH('Step 6 Quality Check'!C710,'Step 4 Stage Discharge'!E$26:E$126,1),9))*('Step 6 Quality Check'!C710-INDEX('Step 4 Stage Discharge'!E$26:M$126,MATCH('Step 6 Quality Check'!C710,'Step 4 Stage Discharge'!E$26:E$126,1),1))/(INDEX('Step 4 Stage Discharge'!E$26:M$126,MATCH('Step 6 Quality Check'!C710,'Step 4 Stage Discharge'!E$26:E$126,1)+1,1)-INDEX('Step 4 Stage Discharge'!E$26:M$126,MATCH('Step 6 Quality Check'!C710,'Step 4 Stage Discharge'!E$26:E$126,1),1))</f>
        <v>4.3639431710317386E-3</v>
      </c>
      <c r="F710" s="218">
        <f t="shared" si="50"/>
        <v>0</v>
      </c>
      <c r="G710" s="218">
        <f t="shared" si="51"/>
        <v>0</v>
      </c>
    </row>
    <row r="711" spans="1:7">
      <c r="A711" s="217">
        <f t="shared" si="52"/>
        <v>3475</v>
      </c>
      <c r="B711" s="216">
        <f t="shared" si="53"/>
        <v>99.1</v>
      </c>
      <c r="C711" s="218">
        <f t="shared" si="54"/>
        <v>0</v>
      </c>
      <c r="D711" s="219">
        <f>INDEX('Step 4 Stage Discharge'!E$26:F$126,MATCH(C711,'Step 4 Stage Discharge'!E$26:E$126,1),2)+(INDEX('Step 4 Stage Discharge'!E$26:F$126,MATCH(C711,'Step 4 Stage Discharge'!E$26:E$126,1)+1,2)-INDEX('Step 4 Stage Discharge'!E$26:F$126,MATCH(C711,'Step 4 Stage Discharge'!E$26:E$126,1),2))*(C711-INDEX('Step 4 Stage Discharge'!E$26:F$126,MATCH(C711,'Step 4 Stage Discharge'!E$26:E$126,1),1))/(INDEX('Step 4 Stage Discharge'!E$26:F$126,MATCH(C711,'Step 4 Stage Discharge'!E$26:E$126,1)+1,1)-INDEX('Step 4 Stage Discharge'!E$26:F$126,MATCH(C711,'Step 4 Stage Discharge'!E$26:E$126,1),1))</f>
        <v>0</v>
      </c>
      <c r="E711" s="219">
        <f>INDEX('Step 4 Stage Discharge'!E$26:M$126,MATCH(C711,'Step 4 Stage Discharge'!E$26:E$126,1),9)+(INDEX('Step 4 Stage Discharge'!E$26:M$126,MATCH('Step 6 Quality Check'!C711,'Step 4 Stage Discharge'!E$26:E$126,1)+1,9)-INDEX('Step 4 Stage Discharge'!E$26:M$126,MATCH('Step 6 Quality Check'!C711,'Step 4 Stage Discharge'!E$26:E$126,1),9))*('Step 6 Quality Check'!C711-INDEX('Step 4 Stage Discharge'!E$26:M$126,MATCH('Step 6 Quality Check'!C711,'Step 4 Stage Discharge'!E$26:E$126,1),1))/(INDEX('Step 4 Stage Discharge'!E$26:M$126,MATCH('Step 6 Quality Check'!C711,'Step 4 Stage Discharge'!E$26:E$126,1)+1,1)-INDEX('Step 4 Stage Discharge'!E$26:M$126,MATCH('Step 6 Quality Check'!C711,'Step 4 Stage Discharge'!E$26:E$126,1),1))</f>
        <v>4.3639431710317386E-3</v>
      </c>
      <c r="F711" s="218">
        <f t="shared" si="50"/>
        <v>0</v>
      </c>
      <c r="G711" s="218">
        <f t="shared" si="51"/>
        <v>0</v>
      </c>
    </row>
    <row r="712" spans="1:7">
      <c r="A712" s="217">
        <f t="shared" si="52"/>
        <v>3480</v>
      </c>
      <c r="B712" s="216">
        <f t="shared" si="53"/>
        <v>99.1</v>
      </c>
      <c r="C712" s="218">
        <f t="shared" si="54"/>
        <v>0</v>
      </c>
      <c r="D712" s="219">
        <f>INDEX('Step 4 Stage Discharge'!E$26:F$126,MATCH(C712,'Step 4 Stage Discharge'!E$26:E$126,1),2)+(INDEX('Step 4 Stage Discharge'!E$26:F$126,MATCH(C712,'Step 4 Stage Discharge'!E$26:E$126,1)+1,2)-INDEX('Step 4 Stage Discharge'!E$26:F$126,MATCH(C712,'Step 4 Stage Discharge'!E$26:E$126,1),2))*(C712-INDEX('Step 4 Stage Discharge'!E$26:F$126,MATCH(C712,'Step 4 Stage Discharge'!E$26:E$126,1),1))/(INDEX('Step 4 Stage Discharge'!E$26:F$126,MATCH(C712,'Step 4 Stage Discharge'!E$26:E$126,1)+1,1)-INDEX('Step 4 Stage Discharge'!E$26:F$126,MATCH(C712,'Step 4 Stage Discharge'!E$26:E$126,1),1))</f>
        <v>0</v>
      </c>
      <c r="E712" s="219">
        <f>INDEX('Step 4 Stage Discharge'!E$26:M$126,MATCH(C712,'Step 4 Stage Discharge'!E$26:E$126,1),9)+(INDEX('Step 4 Stage Discharge'!E$26:M$126,MATCH('Step 6 Quality Check'!C712,'Step 4 Stage Discharge'!E$26:E$126,1)+1,9)-INDEX('Step 4 Stage Discharge'!E$26:M$126,MATCH('Step 6 Quality Check'!C712,'Step 4 Stage Discharge'!E$26:E$126,1),9))*('Step 6 Quality Check'!C712-INDEX('Step 4 Stage Discharge'!E$26:M$126,MATCH('Step 6 Quality Check'!C712,'Step 4 Stage Discharge'!E$26:E$126,1),1))/(INDEX('Step 4 Stage Discharge'!E$26:M$126,MATCH('Step 6 Quality Check'!C712,'Step 4 Stage Discharge'!E$26:E$126,1)+1,1)-INDEX('Step 4 Stage Discharge'!E$26:M$126,MATCH('Step 6 Quality Check'!C712,'Step 4 Stage Discharge'!E$26:E$126,1),1))</f>
        <v>4.3639431710317386E-3</v>
      </c>
      <c r="F712" s="218">
        <f t="shared" si="50"/>
        <v>0</v>
      </c>
      <c r="G712" s="218">
        <f t="shared" si="51"/>
        <v>0</v>
      </c>
    </row>
    <row r="713" spans="1:7">
      <c r="A713" s="217">
        <f t="shared" si="52"/>
        <v>3485</v>
      </c>
      <c r="B713" s="216">
        <f t="shared" si="53"/>
        <v>99.1</v>
      </c>
      <c r="C713" s="218">
        <f t="shared" si="54"/>
        <v>0</v>
      </c>
      <c r="D713" s="219">
        <f>INDEX('Step 4 Stage Discharge'!E$26:F$126,MATCH(C713,'Step 4 Stage Discharge'!E$26:E$126,1),2)+(INDEX('Step 4 Stage Discharge'!E$26:F$126,MATCH(C713,'Step 4 Stage Discharge'!E$26:E$126,1)+1,2)-INDEX('Step 4 Stage Discharge'!E$26:F$126,MATCH(C713,'Step 4 Stage Discharge'!E$26:E$126,1),2))*(C713-INDEX('Step 4 Stage Discharge'!E$26:F$126,MATCH(C713,'Step 4 Stage Discharge'!E$26:E$126,1),1))/(INDEX('Step 4 Stage Discharge'!E$26:F$126,MATCH(C713,'Step 4 Stage Discharge'!E$26:E$126,1)+1,1)-INDEX('Step 4 Stage Discharge'!E$26:F$126,MATCH(C713,'Step 4 Stage Discharge'!E$26:E$126,1),1))</f>
        <v>0</v>
      </c>
      <c r="E713" s="219">
        <f>INDEX('Step 4 Stage Discharge'!E$26:M$126,MATCH(C713,'Step 4 Stage Discharge'!E$26:E$126,1),9)+(INDEX('Step 4 Stage Discharge'!E$26:M$126,MATCH('Step 6 Quality Check'!C713,'Step 4 Stage Discharge'!E$26:E$126,1)+1,9)-INDEX('Step 4 Stage Discharge'!E$26:M$126,MATCH('Step 6 Quality Check'!C713,'Step 4 Stage Discharge'!E$26:E$126,1),9))*('Step 6 Quality Check'!C713-INDEX('Step 4 Stage Discharge'!E$26:M$126,MATCH('Step 6 Quality Check'!C713,'Step 4 Stage Discharge'!E$26:E$126,1),1))/(INDEX('Step 4 Stage Discharge'!E$26:M$126,MATCH('Step 6 Quality Check'!C713,'Step 4 Stage Discharge'!E$26:E$126,1)+1,1)-INDEX('Step 4 Stage Discharge'!E$26:M$126,MATCH('Step 6 Quality Check'!C713,'Step 4 Stage Discharge'!E$26:E$126,1),1))</f>
        <v>4.3639431710317386E-3</v>
      </c>
      <c r="F713" s="218">
        <f t="shared" si="50"/>
        <v>0</v>
      </c>
      <c r="G713" s="218">
        <f t="shared" si="51"/>
        <v>0</v>
      </c>
    </row>
    <row r="714" spans="1:7">
      <c r="A714" s="217">
        <f t="shared" si="52"/>
        <v>3490</v>
      </c>
      <c r="B714" s="216">
        <f t="shared" si="53"/>
        <v>99.1</v>
      </c>
      <c r="C714" s="218">
        <f t="shared" si="54"/>
        <v>0</v>
      </c>
      <c r="D714" s="219">
        <f>INDEX('Step 4 Stage Discharge'!E$26:F$126,MATCH(C714,'Step 4 Stage Discharge'!E$26:E$126,1),2)+(INDEX('Step 4 Stage Discharge'!E$26:F$126,MATCH(C714,'Step 4 Stage Discharge'!E$26:E$126,1)+1,2)-INDEX('Step 4 Stage Discharge'!E$26:F$126,MATCH(C714,'Step 4 Stage Discharge'!E$26:E$126,1),2))*(C714-INDEX('Step 4 Stage Discharge'!E$26:F$126,MATCH(C714,'Step 4 Stage Discharge'!E$26:E$126,1),1))/(INDEX('Step 4 Stage Discharge'!E$26:F$126,MATCH(C714,'Step 4 Stage Discharge'!E$26:E$126,1)+1,1)-INDEX('Step 4 Stage Discharge'!E$26:F$126,MATCH(C714,'Step 4 Stage Discharge'!E$26:E$126,1),1))</f>
        <v>0</v>
      </c>
      <c r="E714" s="219">
        <f>INDEX('Step 4 Stage Discharge'!E$26:M$126,MATCH(C714,'Step 4 Stage Discharge'!E$26:E$126,1),9)+(INDEX('Step 4 Stage Discharge'!E$26:M$126,MATCH('Step 6 Quality Check'!C714,'Step 4 Stage Discharge'!E$26:E$126,1)+1,9)-INDEX('Step 4 Stage Discharge'!E$26:M$126,MATCH('Step 6 Quality Check'!C714,'Step 4 Stage Discharge'!E$26:E$126,1),9))*('Step 6 Quality Check'!C714-INDEX('Step 4 Stage Discharge'!E$26:M$126,MATCH('Step 6 Quality Check'!C714,'Step 4 Stage Discharge'!E$26:E$126,1),1))/(INDEX('Step 4 Stage Discharge'!E$26:M$126,MATCH('Step 6 Quality Check'!C714,'Step 4 Stage Discharge'!E$26:E$126,1)+1,1)-INDEX('Step 4 Stage Discharge'!E$26:M$126,MATCH('Step 6 Quality Check'!C714,'Step 4 Stage Discharge'!E$26:E$126,1),1))</f>
        <v>4.3639431710317386E-3</v>
      </c>
      <c r="F714" s="218">
        <f t="shared" si="50"/>
        <v>0</v>
      </c>
      <c r="G714" s="218">
        <f t="shared" si="51"/>
        <v>0</v>
      </c>
    </row>
    <row r="715" spans="1:7">
      <c r="A715" s="217">
        <f t="shared" si="52"/>
        <v>3495</v>
      </c>
      <c r="B715" s="216">
        <f t="shared" si="53"/>
        <v>99.1</v>
      </c>
      <c r="C715" s="218">
        <f t="shared" si="54"/>
        <v>0</v>
      </c>
      <c r="D715" s="219">
        <f>INDEX('Step 4 Stage Discharge'!E$26:F$126,MATCH(C715,'Step 4 Stage Discharge'!E$26:E$126,1),2)+(INDEX('Step 4 Stage Discharge'!E$26:F$126,MATCH(C715,'Step 4 Stage Discharge'!E$26:E$126,1)+1,2)-INDEX('Step 4 Stage Discharge'!E$26:F$126,MATCH(C715,'Step 4 Stage Discharge'!E$26:E$126,1),2))*(C715-INDEX('Step 4 Stage Discharge'!E$26:F$126,MATCH(C715,'Step 4 Stage Discharge'!E$26:E$126,1),1))/(INDEX('Step 4 Stage Discharge'!E$26:F$126,MATCH(C715,'Step 4 Stage Discharge'!E$26:E$126,1)+1,1)-INDEX('Step 4 Stage Discharge'!E$26:F$126,MATCH(C715,'Step 4 Stage Discharge'!E$26:E$126,1),1))</f>
        <v>0</v>
      </c>
      <c r="E715" s="219">
        <f>INDEX('Step 4 Stage Discharge'!E$26:M$126,MATCH(C715,'Step 4 Stage Discharge'!E$26:E$126,1),9)+(INDEX('Step 4 Stage Discharge'!E$26:M$126,MATCH('Step 6 Quality Check'!C715,'Step 4 Stage Discharge'!E$26:E$126,1)+1,9)-INDEX('Step 4 Stage Discharge'!E$26:M$126,MATCH('Step 6 Quality Check'!C715,'Step 4 Stage Discharge'!E$26:E$126,1),9))*('Step 6 Quality Check'!C715-INDEX('Step 4 Stage Discharge'!E$26:M$126,MATCH('Step 6 Quality Check'!C715,'Step 4 Stage Discharge'!E$26:E$126,1),1))/(INDEX('Step 4 Stage Discharge'!E$26:M$126,MATCH('Step 6 Quality Check'!C715,'Step 4 Stage Discharge'!E$26:E$126,1)+1,1)-INDEX('Step 4 Stage Discharge'!E$26:M$126,MATCH('Step 6 Quality Check'!C715,'Step 4 Stage Discharge'!E$26:E$126,1),1))</f>
        <v>4.3639431710317386E-3</v>
      </c>
      <c r="F715" s="218">
        <f t="shared" si="50"/>
        <v>0</v>
      </c>
      <c r="G715" s="218">
        <f t="shared" si="51"/>
        <v>0</v>
      </c>
    </row>
    <row r="716" spans="1:7">
      <c r="A716" s="217">
        <f t="shared" si="52"/>
        <v>3500</v>
      </c>
      <c r="B716" s="216">
        <f t="shared" si="53"/>
        <v>99.1</v>
      </c>
      <c r="C716" s="218">
        <f t="shared" si="54"/>
        <v>0</v>
      </c>
      <c r="D716" s="219">
        <f>INDEX('Step 4 Stage Discharge'!E$26:F$126,MATCH(C716,'Step 4 Stage Discharge'!E$26:E$126,1),2)+(INDEX('Step 4 Stage Discharge'!E$26:F$126,MATCH(C716,'Step 4 Stage Discharge'!E$26:E$126,1)+1,2)-INDEX('Step 4 Stage Discharge'!E$26:F$126,MATCH(C716,'Step 4 Stage Discharge'!E$26:E$126,1),2))*(C716-INDEX('Step 4 Stage Discharge'!E$26:F$126,MATCH(C716,'Step 4 Stage Discharge'!E$26:E$126,1),1))/(INDEX('Step 4 Stage Discharge'!E$26:F$126,MATCH(C716,'Step 4 Stage Discharge'!E$26:E$126,1)+1,1)-INDEX('Step 4 Stage Discharge'!E$26:F$126,MATCH(C716,'Step 4 Stage Discharge'!E$26:E$126,1),1))</f>
        <v>0</v>
      </c>
      <c r="E716" s="219">
        <f>INDEX('Step 4 Stage Discharge'!E$26:M$126,MATCH(C716,'Step 4 Stage Discharge'!E$26:E$126,1),9)+(INDEX('Step 4 Stage Discharge'!E$26:M$126,MATCH('Step 6 Quality Check'!C716,'Step 4 Stage Discharge'!E$26:E$126,1)+1,9)-INDEX('Step 4 Stage Discharge'!E$26:M$126,MATCH('Step 6 Quality Check'!C716,'Step 4 Stage Discharge'!E$26:E$126,1),9))*('Step 6 Quality Check'!C716-INDEX('Step 4 Stage Discharge'!E$26:M$126,MATCH('Step 6 Quality Check'!C716,'Step 4 Stage Discharge'!E$26:E$126,1),1))/(INDEX('Step 4 Stage Discharge'!E$26:M$126,MATCH('Step 6 Quality Check'!C716,'Step 4 Stage Discharge'!E$26:E$126,1)+1,1)-INDEX('Step 4 Stage Discharge'!E$26:M$126,MATCH('Step 6 Quality Check'!C716,'Step 4 Stage Discharge'!E$26:E$126,1),1))</f>
        <v>4.3639431710317386E-3</v>
      </c>
      <c r="F716" s="218">
        <f t="shared" si="50"/>
        <v>0</v>
      </c>
      <c r="G716" s="218">
        <f t="shared" si="51"/>
        <v>0</v>
      </c>
    </row>
    <row r="717" spans="1:7">
      <c r="A717" s="217">
        <f t="shared" si="52"/>
        <v>3505</v>
      </c>
      <c r="B717" s="216">
        <f t="shared" si="53"/>
        <v>99.1</v>
      </c>
      <c r="C717" s="218">
        <f t="shared" si="54"/>
        <v>0</v>
      </c>
      <c r="D717" s="219">
        <f>INDEX('Step 4 Stage Discharge'!E$26:F$126,MATCH(C717,'Step 4 Stage Discharge'!E$26:E$126,1),2)+(INDEX('Step 4 Stage Discharge'!E$26:F$126,MATCH(C717,'Step 4 Stage Discharge'!E$26:E$126,1)+1,2)-INDEX('Step 4 Stage Discharge'!E$26:F$126,MATCH(C717,'Step 4 Stage Discharge'!E$26:E$126,1),2))*(C717-INDEX('Step 4 Stage Discharge'!E$26:F$126,MATCH(C717,'Step 4 Stage Discharge'!E$26:E$126,1),1))/(INDEX('Step 4 Stage Discharge'!E$26:F$126,MATCH(C717,'Step 4 Stage Discharge'!E$26:E$126,1)+1,1)-INDEX('Step 4 Stage Discharge'!E$26:F$126,MATCH(C717,'Step 4 Stage Discharge'!E$26:E$126,1),1))</f>
        <v>0</v>
      </c>
      <c r="E717" s="219">
        <f>INDEX('Step 4 Stage Discharge'!E$26:M$126,MATCH(C717,'Step 4 Stage Discharge'!E$26:E$126,1),9)+(INDEX('Step 4 Stage Discharge'!E$26:M$126,MATCH('Step 6 Quality Check'!C717,'Step 4 Stage Discharge'!E$26:E$126,1)+1,9)-INDEX('Step 4 Stage Discharge'!E$26:M$126,MATCH('Step 6 Quality Check'!C717,'Step 4 Stage Discharge'!E$26:E$126,1),9))*('Step 6 Quality Check'!C717-INDEX('Step 4 Stage Discharge'!E$26:M$126,MATCH('Step 6 Quality Check'!C717,'Step 4 Stage Discharge'!E$26:E$126,1),1))/(INDEX('Step 4 Stage Discharge'!E$26:M$126,MATCH('Step 6 Quality Check'!C717,'Step 4 Stage Discharge'!E$26:E$126,1)+1,1)-INDEX('Step 4 Stage Discharge'!E$26:M$126,MATCH('Step 6 Quality Check'!C717,'Step 4 Stage Discharge'!E$26:E$126,1),1))</f>
        <v>4.3639431710317386E-3</v>
      </c>
      <c r="F717" s="218">
        <f t="shared" si="50"/>
        <v>0</v>
      </c>
      <c r="G717" s="218">
        <f t="shared" si="51"/>
        <v>0</v>
      </c>
    </row>
    <row r="718" spans="1:7">
      <c r="A718" s="217">
        <f t="shared" si="52"/>
        <v>3510</v>
      </c>
      <c r="B718" s="216">
        <f t="shared" si="53"/>
        <v>99.1</v>
      </c>
      <c r="C718" s="218">
        <f t="shared" si="54"/>
        <v>0</v>
      </c>
      <c r="D718" s="219">
        <f>INDEX('Step 4 Stage Discharge'!E$26:F$126,MATCH(C718,'Step 4 Stage Discharge'!E$26:E$126,1),2)+(INDEX('Step 4 Stage Discharge'!E$26:F$126,MATCH(C718,'Step 4 Stage Discharge'!E$26:E$126,1)+1,2)-INDEX('Step 4 Stage Discharge'!E$26:F$126,MATCH(C718,'Step 4 Stage Discharge'!E$26:E$126,1),2))*(C718-INDEX('Step 4 Stage Discharge'!E$26:F$126,MATCH(C718,'Step 4 Stage Discharge'!E$26:E$126,1),1))/(INDEX('Step 4 Stage Discharge'!E$26:F$126,MATCH(C718,'Step 4 Stage Discharge'!E$26:E$126,1)+1,1)-INDEX('Step 4 Stage Discharge'!E$26:F$126,MATCH(C718,'Step 4 Stage Discharge'!E$26:E$126,1),1))</f>
        <v>0</v>
      </c>
      <c r="E718" s="219">
        <f>INDEX('Step 4 Stage Discharge'!E$26:M$126,MATCH(C718,'Step 4 Stage Discharge'!E$26:E$126,1),9)+(INDEX('Step 4 Stage Discharge'!E$26:M$126,MATCH('Step 6 Quality Check'!C718,'Step 4 Stage Discharge'!E$26:E$126,1)+1,9)-INDEX('Step 4 Stage Discharge'!E$26:M$126,MATCH('Step 6 Quality Check'!C718,'Step 4 Stage Discharge'!E$26:E$126,1),9))*('Step 6 Quality Check'!C718-INDEX('Step 4 Stage Discharge'!E$26:M$126,MATCH('Step 6 Quality Check'!C718,'Step 4 Stage Discharge'!E$26:E$126,1),1))/(INDEX('Step 4 Stage Discharge'!E$26:M$126,MATCH('Step 6 Quality Check'!C718,'Step 4 Stage Discharge'!E$26:E$126,1)+1,1)-INDEX('Step 4 Stage Discharge'!E$26:M$126,MATCH('Step 6 Quality Check'!C718,'Step 4 Stage Discharge'!E$26:E$126,1),1))</f>
        <v>4.3639431710317386E-3</v>
      </c>
      <c r="F718" s="218">
        <f t="shared" si="50"/>
        <v>0</v>
      </c>
      <c r="G718" s="218">
        <f t="shared" si="51"/>
        <v>0</v>
      </c>
    </row>
    <row r="719" spans="1:7">
      <c r="A719" s="217">
        <f t="shared" si="52"/>
        <v>3515</v>
      </c>
      <c r="B719" s="216">
        <f t="shared" si="53"/>
        <v>99.1</v>
      </c>
      <c r="C719" s="218">
        <f t="shared" si="54"/>
        <v>0</v>
      </c>
      <c r="D719" s="219">
        <f>INDEX('Step 4 Stage Discharge'!E$26:F$126,MATCH(C719,'Step 4 Stage Discharge'!E$26:E$126,1),2)+(INDEX('Step 4 Stage Discharge'!E$26:F$126,MATCH(C719,'Step 4 Stage Discharge'!E$26:E$126,1)+1,2)-INDEX('Step 4 Stage Discharge'!E$26:F$126,MATCH(C719,'Step 4 Stage Discharge'!E$26:E$126,1),2))*(C719-INDEX('Step 4 Stage Discharge'!E$26:F$126,MATCH(C719,'Step 4 Stage Discharge'!E$26:E$126,1),1))/(INDEX('Step 4 Stage Discharge'!E$26:F$126,MATCH(C719,'Step 4 Stage Discharge'!E$26:E$126,1)+1,1)-INDEX('Step 4 Stage Discharge'!E$26:F$126,MATCH(C719,'Step 4 Stage Discharge'!E$26:E$126,1),1))</f>
        <v>0</v>
      </c>
      <c r="E719" s="219">
        <f>INDEX('Step 4 Stage Discharge'!E$26:M$126,MATCH(C719,'Step 4 Stage Discharge'!E$26:E$126,1),9)+(INDEX('Step 4 Stage Discharge'!E$26:M$126,MATCH('Step 6 Quality Check'!C719,'Step 4 Stage Discharge'!E$26:E$126,1)+1,9)-INDEX('Step 4 Stage Discharge'!E$26:M$126,MATCH('Step 6 Quality Check'!C719,'Step 4 Stage Discharge'!E$26:E$126,1),9))*('Step 6 Quality Check'!C719-INDEX('Step 4 Stage Discharge'!E$26:M$126,MATCH('Step 6 Quality Check'!C719,'Step 4 Stage Discharge'!E$26:E$126,1),1))/(INDEX('Step 4 Stage Discharge'!E$26:M$126,MATCH('Step 6 Quality Check'!C719,'Step 4 Stage Discharge'!E$26:E$126,1)+1,1)-INDEX('Step 4 Stage Discharge'!E$26:M$126,MATCH('Step 6 Quality Check'!C719,'Step 4 Stage Discharge'!E$26:E$126,1),1))</f>
        <v>4.3639431710317386E-3</v>
      </c>
      <c r="F719" s="218">
        <f t="shared" si="50"/>
        <v>0</v>
      </c>
      <c r="G719" s="218">
        <f t="shared" si="51"/>
        <v>0</v>
      </c>
    </row>
    <row r="720" spans="1:7">
      <c r="A720" s="217">
        <f t="shared" si="52"/>
        <v>3520</v>
      </c>
      <c r="B720" s="216">
        <f t="shared" si="53"/>
        <v>99.1</v>
      </c>
      <c r="C720" s="218">
        <f t="shared" si="54"/>
        <v>0</v>
      </c>
      <c r="D720" s="219">
        <f>INDEX('Step 4 Stage Discharge'!E$26:F$126,MATCH(C720,'Step 4 Stage Discharge'!E$26:E$126,1),2)+(INDEX('Step 4 Stage Discharge'!E$26:F$126,MATCH(C720,'Step 4 Stage Discharge'!E$26:E$126,1)+1,2)-INDEX('Step 4 Stage Discharge'!E$26:F$126,MATCH(C720,'Step 4 Stage Discharge'!E$26:E$126,1),2))*(C720-INDEX('Step 4 Stage Discharge'!E$26:F$126,MATCH(C720,'Step 4 Stage Discharge'!E$26:E$126,1),1))/(INDEX('Step 4 Stage Discharge'!E$26:F$126,MATCH(C720,'Step 4 Stage Discharge'!E$26:E$126,1)+1,1)-INDEX('Step 4 Stage Discharge'!E$26:F$126,MATCH(C720,'Step 4 Stage Discharge'!E$26:E$126,1),1))</f>
        <v>0</v>
      </c>
      <c r="E720" s="219">
        <f>INDEX('Step 4 Stage Discharge'!E$26:M$126,MATCH(C720,'Step 4 Stage Discharge'!E$26:E$126,1),9)+(INDEX('Step 4 Stage Discharge'!E$26:M$126,MATCH('Step 6 Quality Check'!C720,'Step 4 Stage Discharge'!E$26:E$126,1)+1,9)-INDEX('Step 4 Stage Discharge'!E$26:M$126,MATCH('Step 6 Quality Check'!C720,'Step 4 Stage Discharge'!E$26:E$126,1),9))*('Step 6 Quality Check'!C720-INDEX('Step 4 Stage Discharge'!E$26:M$126,MATCH('Step 6 Quality Check'!C720,'Step 4 Stage Discharge'!E$26:E$126,1),1))/(INDEX('Step 4 Stage Discharge'!E$26:M$126,MATCH('Step 6 Quality Check'!C720,'Step 4 Stage Discharge'!E$26:E$126,1)+1,1)-INDEX('Step 4 Stage Discharge'!E$26:M$126,MATCH('Step 6 Quality Check'!C720,'Step 4 Stage Discharge'!E$26:E$126,1),1))</f>
        <v>4.3639431710317386E-3</v>
      </c>
      <c r="F720" s="218">
        <f t="shared" ref="F720:F783" si="55">IF(E720*60*C$9&gt;C720,C720,E720*60*C$9)</f>
        <v>0</v>
      </c>
      <c r="G720" s="218">
        <f t="shared" ref="G720:G783" si="56">IF(C720-F720&lt;0,0,C720-F720)</f>
        <v>0</v>
      </c>
    </row>
    <row r="721" spans="1:7">
      <c r="A721" s="217">
        <f t="shared" ref="A721:A784" si="57">+A720+C$9</f>
        <v>3525</v>
      </c>
      <c r="B721" s="216">
        <f t="shared" si="53"/>
        <v>99.1</v>
      </c>
      <c r="C721" s="218">
        <f t="shared" si="54"/>
        <v>0</v>
      </c>
      <c r="D721" s="219">
        <f>INDEX('Step 4 Stage Discharge'!E$26:F$126,MATCH(C721,'Step 4 Stage Discharge'!E$26:E$126,1),2)+(INDEX('Step 4 Stage Discharge'!E$26:F$126,MATCH(C721,'Step 4 Stage Discharge'!E$26:E$126,1)+1,2)-INDEX('Step 4 Stage Discharge'!E$26:F$126,MATCH(C721,'Step 4 Stage Discharge'!E$26:E$126,1),2))*(C721-INDEX('Step 4 Stage Discharge'!E$26:F$126,MATCH(C721,'Step 4 Stage Discharge'!E$26:E$126,1),1))/(INDEX('Step 4 Stage Discharge'!E$26:F$126,MATCH(C721,'Step 4 Stage Discharge'!E$26:E$126,1)+1,1)-INDEX('Step 4 Stage Discharge'!E$26:F$126,MATCH(C721,'Step 4 Stage Discharge'!E$26:E$126,1),1))</f>
        <v>0</v>
      </c>
      <c r="E721" s="219">
        <f>INDEX('Step 4 Stage Discharge'!E$26:M$126,MATCH(C721,'Step 4 Stage Discharge'!E$26:E$126,1),9)+(INDEX('Step 4 Stage Discharge'!E$26:M$126,MATCH('Step 6 Quality Check'!C721,'Step 4 Stage Discharge'!E$26:E$126,1)+1,9)-INDEX('Step 4 Stage Discharge'!E$26:M$126,MATCH('Step 6 Quality Check'!C721,'Step 4 Stage Discharge'!E$26:E$126,1),9))*('Step 6 Quality Check'!C721-INDEX('Step 4 Stage Discharge'!E$26:M$126,MATCH('Step 6 Quality Check'!C721,'Step 4 Stage Discharge'!E$26:E$126,1),1))/(INDEX('Step 4 Stage Discharge'!E$26:M$126,MATCH('Step 6 Quality Check'!C721,'Step 4 Stage Discharge'!E$26:E$126,1)+1,1)-INDEX('Step 4 Stage Discharge'!E$26:M$126,MATCH('Step 6 Quality Check'!C721,'Step 4 Stage Discharge'!E$26:E$126,1),1))</f>
        <v>4.3639431710317386E-3</v>
      </c>
      <c r="F721" s="218">
        <f t="shared" si="55"/>
        <v>0</v>
      </c>
      <c r="G721" s="218">
        <f t="shared" si="56"/>
        <v>0</v>
      </c>
    </row>
    <row r="722" spans="1:7">
      <c r="A722" s="217">
        <f t="shared" si="57"/>
        <v>3530</v>
      </c>
      <c r="B722" s="216">
        <f t="shared" ref="B722:B785" si="58">C$6+D722</f>
        <v>99.1</v>
      </c>
      <c r="C722" s="218">
        <f t="shared" ref="C722:C785" si="59">+G721</f>
        <v>0</v>
      </c>
      <c r="D722" s="219">
        <f>INDEX('Step 4 Stage Discharge'!E$26:F$126,MATCH(C722,'Step 4 Stage Discharge'!E$26:E$126,1),2)+(INDEX('Step 4 Stage Discharge'!E$26:F$126,MATCH(C722,'Step 4 Stage Discharge'!E$26:E$126,1)+1,2)-INDEX('Step 4 Stage Discharge'!E$26:F$126,MATCH(C722,'Step 4 Stage Discharge'!E$26:E$126,1),2))*(C722-INDEX('Step 4 Stage Discharge'!E$26:F$126,MATCH(C722,'Step 4 Stage Discharge'!E$26:E$126,1),1))/(INDEX('Step 4 Stage Discharge'!E$26:F$126,MATCH(C722,'Step 4 Stage Discharge'!E$26:E$126,1)+1,1)-INDEX('Step 4 Stage Discharge'!E$26:F$126,MATCH(C722,'Step 4 Stage Discharge'!E$26:E$126,1),1))</f>
        <v>0</v>
      </c>
      <c r="E722" s="219">
        <f>INDEX('Step 4 Stage Discharge'!E$26:M$126,MATCH(C722,'Step 4 Stage Discharge'!E$26:E$126,1),9)+(INDEX('Step 4 Stage Discharge'!E$26:M$126,MATCH('Step 6 Quality Check'!C722,'Step 4 Stage Discharge'!E$26:E$126,1)+1,9)-INDEX('Step 4 Stage Discharge'!E$26:M$126,MATCH('Step 6 Quality Check'!C722,'Step 4 Stage Discharge'!E$26:E$126,1),9))*('Step 6 Quality Check'!C722-INDEX('Step 4 Stage Discharge'!E$26:M$126,MATCH('Step 6 Quality Check'!C722,'Step 4 Stage Discharge'!E$26:E$126,1),1))/(INDEX('Step 4 Stage Discharge'!E$26:M$126,MATCH('Step 6 Quality Check'!C722,'Step 4 Stage Discharge'!E$26:E$126,1)+1,1)-INDEX('Step 4 Stage Discharge'!E$26:M$126,MATCH('Step 6 Quality Check'!C722,'Step 4 Stage Discharge'!E$26:E$126,1),1))</f>
        <v>4.3639431710317386E-3</v>
      </c>
      <c r="F722" s="218">
        <f t="shared" si="55"/>
        <v>0</v>
      </c>
      <c r="G722" s="218">
        <f t="shared" si="56"/>
        <v>0</v>
      </c>
    </row>
    <row r="723" spans="1:7">
      <c r="A723" s="217">
        <f t="shared" si="57"/>
        <v>3535</v>
      </c>
      <c r="B723" s="216">
        <f t="shared" si="58"/>
        <v>99.1</v>
      </c>
      <c r="C723" s="218">
        <f t="shared" si="59"/>
        <v>0</v>
      </c>
      <c r="D723" s="219">
        <f>INDEX('Step 4 Stage Discharge'!E$26:F$126,MATCH(C723,'Step 4 Stage Discharge'!E$26:E$126,1),2)+(INDEX('Step 4 Stage Discharge'!E$26:F$126,MATCH(C723,'Step 4 Stage Discharge'!E$26:E$126,1)+1,2)-INDEX('Step 4 Stage Discharge'!E$26:F$126,MATCH(C723,'Step 4 Stage Discharge'!E$26:E$126,1),2))*(C723-INDEX('Step 4 Stage Discharge'!E$26:F$126,MATCH(C723,'Step 4 Stage Discharge'!E$26:E$126,1),1))/(INDEX('Step 4 Stage Discharge'!E$26:F$126,MATCH(C723,'Step 4 Stage Discharge'!E$26:E$126,1)+1,1)-INDEX('Step 4 Stage Discharge'!E$26:F$126,MATCH(C723,'Step 4 Stage Discharge'!E$26:E$126,1),1))</f>
        <v>0</v>
      </c>
      <c r="E723" s="219">
        <f>INDEX('Step 4 Stage Discharge'!E$26:M$126,MATCH(C723,'Step 4 Stage Discharge'!E$26:E$126,1),9)+(INDEX('Step 4 Stage Discharge'!E$26:M$126,MATCH('Step 6 Quality Check'!C723,'Step 4 Stage Discharge'!E$26:E$126,1)+1,9)-INDEX('Step 4 Stage Discharge'!E$26:M$126,MATCH('Step 6 Quality Check'!C723,'Step 4 Stage Discharge'!E$26:E$126,1),9))*('Step 6 Quality Check'!C723-INDEX('Step 4 Stage Discharge'!E$26:M$126,MATCH('Step 6 Quality Check'!C723,'Step 4 Stage Discharge'!E$26:E$126,1),1))/(INDEX('Step 4 Stage Discharge'!E$26:M$126,MATCH('Step 6 Quality Check'!C723,'Step 4 Stage Discharge'!E$26:E$126,1)+1,1)-INDEX('Step 4 Stage Discharge'!E$26:M$126,MATCH('Step 6 Quality Check'!C723,'Step 4 Stage Discharge'!E$26:E$126,1),1))</f>
        <v>4.3639431710317386E-3</v>
      </c>
      <c r="F723" s="218">
        <f t="shared" si="55"/>
        <v>0</v>
      </c>
      <c r="G723" s="218">
        <f t="shared" si="56"/>
        <v>0</v>
      </c>
    </row>
    <row r="724" spans="1:7">
      <c r="A724" s="217">
        <f t="shared" si="57"/>
        <v>3540</v>
      </c>
      <c r="B724" s="216">
        <f t="shared" si="58"/>
        <v>99.1</v>
      </c>
      <c r="C724" s="218">
        <f t="shared" si="59"/>
        <v>0</v>
      </c>
      <c r="D724" s="219">
        <f>INDEX('Step 4 Stage Discharge'!E$26:F$126,MATCH(C724,'Step 4 Stage Discharge'!E$26:E$126,1),2)+(INDEX('Step 4 Stage Discharge'!E$26:F$126,MATCH(C724,'Step 4 Stage Discharge'!E$26:E$126,1)+1,2)-INDEX('Step 4 Stage Discharge'!E$26:F$126,MATCH(C724,'Step 4 Stage Discharge'!E$26:E$126,1),2))*(C724-INDEX('Step 4 Stage Discharge'!E$26:F$126,MATCH(C724,'Step 4 Stage Discharge'!E$26:E$126,1),1))/(INDEX('Step 4 Stage Discharge'!E$26:F$126,MATCH(C724,'Step 4 Stage Discharge'!E$26:E$126,1)+1,1)-INDEX('Step 4 Stage Discharge'!E$26:F$126,MATCH(C724,'Step 4 Stage Discharge'!E$26:E$126,1),1))</f>
        <v>0</v>
      </c>
      <c r="E724" s="219">
        <f>INDEX('Step 4 Stage Discharge'!E$26:M$126,MATCH(C724,'Step 4 Stage Discharge'!E$26:E$126,1),9)+(INDEX('Step 4 Stage Discharge'!E$26:M$126,MATCH('Step 6 Quality Check'!C724,'Step 4 Stage Discharge'!E$26:E$126,1)+1,9)-INDEX('Step 4 Stage Discharge'!E$26:M$126,MATCH('Step 6 Quality Check'!C724,'Step 4 Stage Discharge'!E$26:E$126,1),9))*('Step 6 Quality Check'!C724-INDEX('Step 4 Stage Discharge'!E$26:M$126,MATCH('Step 6 Quality Check'!C724,'Step 4 Stage Discharge'!E$26:E$126,1),1))/(INDEX('Step 4 Stage Discharge'!E$26:M$126,MATCH('Step 6 Quality Check'!C724,'Step 4 Stage Discharge'!E$26:E$126,1)+1,1)-INDEX('Step 4 Stage Discharge'!E$26:M$126,MATCH('Step 6 Quality Check'!C724,'Step 4 Stage Discharge'!E$26:E$126,1),1))</f>
        <v>4.3639431710317386E-3</v>
      </c>
      <c r="F724" s="218">
        <f t="shared" si="55"/>
        <v>0</v>
      </c>
      <c r="G724" s="218">
        <f t="shared" si="56"/>
        <v>0</v>
      </c>
    </row>
    <row r="725" spans="1:7">
      <c r="A725" s="217">
        <f t="shared" si="57"/>
        <v>3545</v>
      </c>
      <c r="B725" s="216">
        <f t="shared" si="58"/>
        <v>99.1</v>
      </c>
      <c r="C725" s="218">
        <f t="shared" si="59"/>
        <v>0</v>
      </c>
      <c r="D725" s="219">
        <f>INDEX('Step 4 Stage Discharge'!E$26:F$126,MATCH(C725,'Step 4 Stage Discharge'!E$26:E$126,1),2)+(INDEX('Step 4 Stage Discharge'!E$26:F$126,MATCH(C725,'Step 4 Stage Discharge'!E$26:E$126,1)+1,2)-INDEX('Step 4 Stage Discharge'!E$26:F$126,MATCH(C725,'Step 4 Stage Discharge'!E$26:E$126,1),2))*(C725-INDEX('Step 4 Stage Discharge'!E$26:F$126,MATCH(C725,'Step 4 Stage Discharge'!E$26:E$126,1),1))/(INDEX('Step 4 Stage Discharge'!E$26:F$126,MATCH(C725,'Step 4 Stage Discharge'!E$26:E$126,1)+1,1)-INDEX('Step 4 Stage Discharge'!E$26:F$126,MATCH(C725,'Step 4 Stage Discharge'!E$26:E$126,1),1))</f>
        <v>0</v>
      </c>
      <c r="E725" s="219">
        <f>INDEX('Step 4 Stage Discharge'!E$26:M$126,MATCH(C725,'Step 4 Stage Discharge'!E$26:E$126,1),9)+(INDEX('Step 4 Stage Discharge'!E$26:M$126,MATCH('Step 6 Quality Check'!C725,'Step 4 Stage Discharge'!E$26:E$126,1)+1,9)-INDEX('Step 4 Stage Discharge'!E$26:M$126,MATCH('Step 6 Quality Check'!C725,'Step 4 Stage Discharge'!E$26:E$126,1),9))*('Step 6 Quality Check'!C725-INDEX('Step 4 Stage Discharge'!E$26:M$126,MATCH('Step 6 Quality Check'!C725,'Step 4 Stage Discharge'!E$26:E$126,1),1))/(INDEX('Step 4 Stage Discharge'!E$26:M$126,MATCH('Step 6 Quality Check'!C725,'Step 4 Stage Discharge'!E$26:E$126,1)+1,1)-INDEX('Step 4 Stage Discharge'!E$26:M$126,MATCH('Step 6 Quality Check'!C725,'Step 4 Stage Discharge'!E$26:E$126,1),1))</f>
        <v>4.3639431710317386E-3</v>
      </c>
      <c r="F725" s="218">
        <f t="shared" si="55"/>
        <v>0</v>
      </c>
      <c r="G725" s="218">
        <f t="shared" si="56"/>
        <v>0</v>
      </c>
    </row>
    <row r="726" spans="1:7">
      <c r="A726" s="217">
        <f t="shared" si="57"/>
        <v>3550</v>
      </c>
      <c r="B726" s="216">
        <f t="shared" si="58"/>
        <v>99.1</v>
      </c>
      <c r="C726" s="218">
        <f t="shared" si="59"/>
        <v>0</v>
      </c>
      <c r="D726" s="219">
        <f>INDEX('Step 4 Stage Discharge'!E$26:F$126,MATCH(C726,'Step 4 Stage Discharge'!E$26:E$126,1),2)+(INDEX('Step 4 Stage Discharge'!E$26:F$126,MATCH(C726,'Step 4 Stage Discharge'!E$26:E$126,1)+1,2)-INDEX('Step 4 Stage Discharge'!E$26:F$126,MATCH(C726,'Step 4 Stage Discharge'!E$26:E$126,1),2))*(C726-INDEX('Step 4 Stage Discharge'!E$26:F$126,MATCH(C726,'Step 4 Stage Discharge'!E$26:E$126,1),1))/(INDEX('Step 4 Stage Discharge'!E$26:F$126,MATCH(C726,'Step 4 Stage Discharge'!E$26:E$126,1)+1,1)-INDEX('Step 4 Stage Discharge'!E$26:F$126,MATCH(C726,'Step 4 Stage Discharge'!E$26:E$126,1),1))</f>
        <v>0</v>
      </c>
      <c r="E726" s="219">
        <f>INDEX('Step 4 Stage Discharge'!E$26:M$126,MATCH(C726,'Step 4 Stage Discharge'!E$26:E$126,1),9)+(INDEX('Step 4 Stage Discharge'!E$26:M$126,MATCH('Step 6 Quality Check'!C726,'Step 4 Stage Discharge'!E$26:E$126,1)+1,9)-INDEX('Step 4 Stage Discharge'!E$26:M$126,MATCH('Step 6 Quality Check'!C726,'Step 4 Stage Discharge'!E$26:E$126,1),9))*('Step 6 Quality Check'!C726-INDEX('Step 4 Stage Discharge'!E$26:M$126,MATCH('Step 6 Quality Check'!C726,'Step 4 Stage Discharge'!E$26:E$126,1),1))/(INDEX('Step 4 Stage Discharge'!E$26:M$126,MATCH('Step 6 Quality Check'!C726,'Step 4 Stage Discharge'!E$26:E$126,1)+1,1)-INDEX('Step 4 Stage Discharge'!E$26:M$126,MATCH('Step 6 Quality Check'!C726,'Step 4 Stage Discharge'!E$26:E$126,1),1))</f>
        <v>4.3639431710317386E-3</v>
      </c>
      <c r="F726" s="218">
        <f t="shared" si="55"/>
        <v>0</v>
      </c>
      <c r="G726" s="218">
        <f t="shared" si="56"/>
        <v>0</v>
      </c>
    </row>
    <row r="727" spans="1:7">
      <c r="A727" s="217">
        <f t="shared" si="57"/>
        <v>3555</v>
      </c>
      <c r="B727" s="216">
        <f t="shared" si="58"/>
        <v>99.1</v>
      </c>
      <c r="C727" s="218">
        <f t="shared" si="59"/>
        <v>0</v>
      </c>
      <c r="D727" s="219">
        <f>INDEX('Step 4 Stage Discharge'!E$26:F$126,MATCH(C727,'Step 4 Stage Discharge'!E$26:E$126,1),2)+(INDEX('Step 4 Stage Discharge'!E$26:F$126,MATCH(C727,'Step 4 Stage Discharge'!E$26:E$126,1)+1,2)-INDEX('Step 4 Stage Discharge'!E$26:F$126,MATCH(C727,'Step 4 Stage Discharge'!E$26:E$126,1),2))*(C727-INDEX('Step 4 Stage Discharge'!E$26:F$126,MATCH(C727,'Step 4 Stage Discharge'!E$26:E$126,1),1))/(INDEX('Step 4 Stage Discharge'!E$26:F$126,MATCH(C727,'Step 4 Stage Discharge'!E$26:E$126,1)+1,1)-INDEX('Step 4 Stage Discharge'!E$26:F$126,MATCH(C727,'Step 4 Stage Discharge'!E$26:E$126,1),1))</f>
        <v>0</v>
      </c>
      <c r="E727" s="219">
        <f>INDEX('Step 4 Stage Discharge'!E$26:M$126,MATCH(C727,'Step 4 Stage Discharge'!E$26:E$126,1),9)+(INDEX('Step 4 Stage Discharge'!E$26:M$126,MATCH('Step 6 Quality Check'!C727,'Step 4 Stage Discharge'!E$26:E$126,1)+1,9)-INDEX('Step 4 Stage Discharge'!E$26:M$126,MATCH('Step 6 Quality Check'!C727,'Step 4 Stage Discharge'!E$26:E$126,1),9))*('Step 6 Quality Check'!C727-INDEX('Step 4 Stage Discharge'!E$26:M$126,MATCH('Step 6 Quality Check'!C727,'Step 4 Stage Discharge'!E$26:E$126,1),1))/(INDEX('Step 4 Stage Discharge'!E$26:M$126,MATCH('Step 6 Quality Check'!C727,'Step 4 Stage Discharge'!E$26:E$126,1)+1,1)-INDEX('Step 4 Stage Discharge'!E$26:M$126,MATCH('Step 6 Quality Check'!C727,'Step 4 Stage Discharge'!E$26:E$126,1),1))</f>
        <v>4.3639431710317386E-3</v>
      </c>
      <c r="F727" s="218">
        <f t="shared" si="55"/>
        <v>0</v>
      </c>
      <c r="G727" s="218">
        <f t="shared" si="56"/>
        <v>0</v>
      </c>
    </row>
    <row r="728" spans="1:7">
      <c r="A728" s="217">
        <f t="shared" si="57"/>
        <v>3560</v>
      </c>
      <c r="B728" s="216">
        <f t="shared" si="58"/>
        <v>99.1</v>
      </c>
      <c r="C728" s="218">
        <f t="shared" si="59"/>
        <v>0</v>
      </c>
      <c r="D728" s="219">
        <f>INDEX('Step 4 Stage Discharge'!E$26:F$126,MATCH(C728,'Step 4 Stage Discharge'!E$26:E$126,1),2)+(INDEX('Step 4 Stage Discharge'!E$26:F$126,MATCH(C728,'Step 4 Stage Discharge'!E$26:E$126,1)+1,2)-INDEX('Step 4 Stage Discharge'!E$26:F$126,MATCH(C728,'Step 4 Stage Discharge'!E$26:E$126,1),2))*(C728-INDEX('Step 4 Stage Discharge'!E$26:F$126,MATCH(C728,'Step 4 Stage Discharge'!E$26:E$126,1),1))/(INDEX('Step 4 Stage Discharge'!E$26:F$126,MATCH(C728,'Step 4 Stage Discharge'!E$26:E$126,1)+1,1)-INDEX('Step 4 Stage Discharge'!E$26:F$126,MATCH(C728,'Step 4 Stage Discharge'!E$26:E$126,1),1))</f>
        <v>0</v>
      </c>
      <c r="E728" s="219">
        <f>INDEX('Step 4 Stage Discharge'!E$26:M$126,MATCH(C728,'Step 4 Stage Discharge'!E$26:E$126,1),9)+(INDEX('Step 4 Stage Discharge'!E$26:M$126,MATCH('Step 6 Quality Check'!C728,'Step 4 Stage Discharge'!E$26:E$126,1)+1,9)-INDEX('Step 4 Stage Discharge'!E$26:M$126,MATCH('Step 6 Quality Check'!C728,'Step 4 Stage Discharge'!E$26:E$126,1),9))*('Step 6 Quality Check'!C728-INDEX('Step 4 Stage Discharge'!E$26:M$126,MATCH('Step 6 Quality Check'!C728,'Step 4 Stage Discharge'!E$26:E$126,1),1))/(INDEX('Step 4 Stage Discharge'!E$26:M$126,MATCH('Step 6 Quality Check'!C728,'Step 4 Stage Discharge'!E$26:E$126,1)+1,1)-INDEX('Step 4 Stage Discharge'!E$26:M$126,MATCH('Step 6 Quality Check'!C728,'Step 4 Stage Discharge'!E$26:E$126,1),1))</f>
        <v>4.3639431710317386E-3</v>
      </c>
      <c r="F728" s="218">
        <f t="shared" si="55"/>
        <v>0</v>
      </c>
      <c r="G728" s="218">
        <f t="shared" si="56"/>
        <v>0</v>
      </c>
    </row>
    <row r="729" spans="1:7">
      <c r="A729" s="217">
        <f t="shared" si="57"/>
        <v>3565</v>
      </c>
      <c r="B729" s="216">
        <f t="shared" si="58"/>
        <v>99.1</v>
      </c>
      <c r="C729" s="218">
        <f t="shared" si="59"/>
        <v>0</v>
      </c>
      <c r="D729" s="219">
        <f>INDEX('Step 4 Stage Discharge'!E$26:F$126,MATCH(C729,'Step 4 Stage Discharge'!E$26:E$126,1),2)+(INDEX('Step 4 Stage Discharge'!E$26:F$126,MATCH(C729,'Step 4 Stage Discharge'!E$26:E$126,1)+1,2)-INDEX('Step 4 Stage Discharge'!E$26:F$126,MATCH(C729,'Step 4 Stage Discharge'!E$26:E$126,1),2))*(C729-INDEX('Step 4 Stage Discharge'!E$26:F$126,MATCH(C729,'Step 4 Stage Discharge'!E$26:E$126,1),1))/(INDEX('Step 4 Stage Discharge'!E$26:F$126,MATCH(C729,'Step 4 Stage Discharge'!E$26:E$126,1)+1,1)-INDEX('Step 4 Stage Discharge'!E$26:F$126,MATCH(C729,'Step 4 Stage Discharge'!E$26:E$126,1),1))</f>
        <v>0</v>
      </c>
      <c r="E729" s="219">
        <f>INDEX('Step 4 Stage Discharge'!E$26:M$126,MATCH(C729,'Step 4 Stage Discharge'!E$26:E$126,1),9)+(INDEX('Step 4 Stage Discharge'!E$26:M$126,MATCH('Step 6 Quality Check'!C729,'Step 4 Stage Discharge'!E$26:E$126,1)+1,9)-INDEX('Step 4 Stage Discharge'!E$26:M$126,MATCH('Step 6 Quality Check'!C729,'Step 4 Stage Discharge'!E$26:E$126,1),9))*('Step 6 Quality Check'!C729-INDEX('Step 4 Stage Discharge'!E$26:M$126,MATCH('Step 6 Quality Check'!C729,'Step 4 Stage Discharge'!E$26:E$126,1),1))/(INDEX('Step 4 Stage Discharge'!E$26:M$126,MATCH('Step 6 Quality Check'!C729,'Step 4 Stage Discharge'!E$26:E$126,1)+1,1)-INDEX('Step 4 Stage Discharge'!E$26:M$126,MATCH('Step 6 Quality Check'!C729,'Step 4 Stage Discharge'!E$26:E$126,1),1))</f>
        <v>4.3639431710317386E-3</v>
      </c>
      <c r="F729" s="218">
        <f t="shared" si="55"/>
        <v>0</v>
      </c>
      <c r="G729" s="218">
        <f t="shared" si="56"/>
        <v>0</v>
      </c>
    </row>
    <row r="730" spans="1:7">
      <c r="A730" s="217">
        <f t="shared" si="57"/>
        <v>3570</v>
      </c>
      <c r="B730" s="216">
        <f t="shared" si="58"/>
        <v>99.1</v>
      </c>
      <c r="C730" s="218">
        <f t="shared" si="59"/>
        <v>0</v>
      </c>
      <c r="D730" s="219">
        <f>INDEX('Step 4 Stage Discharge'!E$26:F$126,MATCH(C730,'Step 4 Stage Discharge'!E$26:E$126,1),2)+(INDEX('Step 4 Stage Discharge'!E$26:F$126,MATCH(C730,'Step 4 Stage Discharge'!E$26:E$126,1)+1,2)-INDEX('Step 4 Stage Discharge'!E$26:F$126,MATCH(C730,'Step 4 Stage Discharge'!E$26:E$126,1),2))*(C730-INDEX('Step 4 Stage Discharge'!E$26:F$126,MATCH(C730,'Step 4 Stage Discharge'!E$26:E$126,1),1))/(INDEX('Step 4 Stage Discharge'!E$26:F$126,MATCH(C730,'Step 4 Stage Discharge'!E$26:E$126,1)+1,1)-INDEX('Step 4 Stage Discharge'!E$26:F$126,MATCH(C730,'Step 4 Stage Discharge'!E$26:E$126,1),1))</f>
        <v>0</v>
      </c>
      <c r="E730" s="219">
        <f>INDEX('Step 4 Stage Discharge'!E$26:M$126,MATCH(C730,'Step 4 Stage Discharge'!E$26:E$126,1),9)+(INDEX('Step 4 Stage Discharge'!E$26:M$126,MATCH('Step 6 Quality Check'!C730,'Step 4 Stage Discharge'!E$26:E$126,1)+1,9)-INDEX('Step 4 Stage Discharge'!E$26:M$126,MATCH('Step 6 Quality Check'!C730,'Step 4 Stage Discharge'!E$26:E$126,1),9))*('Step 6 Quality Check'!C730-INDEX('Step 4 Stage Discharge'!E$26:M$126,MATCH('Step 6 Quality Check'!C730,'Step 4 Stage Discharge'!E$26:E$126,1),1))/(INDEX('Step 4 Stage Discharge'!E$26:M$126,MATCH('Step 6 Quality Check'!C730,'Step 4 Stage Discharge'!E$26:E$126,1)+1,1)-INDEX('Step 4 Stage Discharge'!E$26:M$126,MATCH('Step 6 Quality Check'!C730,'Step 4 Stage Discharge'!E$26:E$126,1),1))</f>
        <v>4.3639431710317386E-3</v>
      </c>
      <c r="F730" s="218">
        <f t="shared" si="55"/>
        <v>0</v>
      </c>
      <c r="G730" s="218">
        <f t="shared" si="56"/>
        <v>0</v>
      </c>
    </row>
    <row r="731" spans="1:7">
      <c r="A731" s="217">
        <f t="shared" si="57"/>
        <v>3575</v>
      </c>
      <c r="B731" s="216">
        <f t="shared" si="58"/>
        <v>99.1</v>
      </c>
      <c r="C731" s="218">
        <f t="shared" si="59"/>
        <v>0</v>
      </c>
      <c r="D731" s="219">
        <f>INDEX('Step 4 Stage Discharge'!E$26:F$126,MATCH(C731,'Step 4 Stage Discharge'!E$26:E$126,1),2)+(INDEX('Step 4 Stage Discharge'!E$26:F$126,MATCH(C731,'Step 4 Stage Discharge'!E$26:E$126,1)+1,2)-INDEX('Step 4 Stage Discharge'!E$26:F$126,MATCH(C731,'Step 4 Stage Discharge'!E$26:E$126,1),2))*(C731-INDEX('Step 4 Stage Discharge'!E$26:F$126,MATCH(C731,'Step 4 Stage Discharge'!E$26:E$126,1),1))/(INDEX('Step 4 Stage Discharge'!E$26:F$126,MATCH(C731,'Step 4 Stage Discharge'!E$26:E$126,1)+1,1)-INDEX('Step 4 Stage Discharge'!E$26:F$126,MATCH(C731,'Step 4 Stage Discharge'!E$26:E$126,1),1))</f>
        <v>0</v>
      </c>
      <c r="E731" s="219">
        <f>INDEX('Step 4 Stage Discharge'!E$26:M$126,MATCH(C731,'Step 4 Stage Discharge'!E$26:E$126,1),9)+(INDEX('Step 4 Stage Discharge'!E$26:M$126,MATCH('Step 6 Quality Check'!C731,'Step 4 Stage Discharge'!E$26:E$126,1)+1,9)-INDEX('Step 4 Stage Discharge'!E$26:M$126,MATCH('Step 6 Quality Check'!C731,'Step 4 Stage Discharge'!E$26:E$126,1),9))*('Step 6 Quality Check'!C731-INDEX('Step 4 Stage Discharge'!E$26:M$126,MATCH('Step 6 Quality Check'!C731,'Step 4 Stage Discharge'!E$26:E$126,1),1))/(INDEX('Step 4 Stage Discharge'!E$26:M$126,MATCH('Step 6 Quality Check'!C731,'Step 4 Stage Discharge'!E$26:E$126,1)+1,1)-INDEX('Step 4 Stage Discharge'!E$26:M$126,MATCH('Step 6 Quality Check'!C731,'Step 4 Stage Discharge'!E$26:E$126,1),1))</f>
        <v>4.3639431710317386E-3</v>
      </c>
      <c r="F731" s="218">
        <f t="shared" si="55"/>
        <v>0</v>
      </c>
      <c r="G731" s="218">
        <f t="shared" si="56"/>
        <v>0</v>
      </c>
    </row>
    <row r="732" spans="1:7">
      <c r="A732" s="217">
        <f t="shared" si="57"/>
        <v>3580</v>
      </c>
      <c r="B732" s="216">
        <f t="shared" si="58"/>
        <v>99.1</v>
      </c>
      <c r="C732" s="218">
        <f t="shared" si="59"/>
        <v>0</v>
      </c>
      <c r="D732" s="219">
        <f>INDEX('Step 4 Stage Discharge'!E$26:F$126,MATCH(C732,'Step 4 Stage Discharge'!E$26:E$126,1),2)+(INDEX('Step 4 Stage Discharge'!E$26:F$126,MATCH(C732,'Step 4 Stage Discharge'!E$26:E$126,1)+1,2)-INDEX('Step 4 Stage Discharge'!E$26:F$126,MATCH(C732,'Step 4 Stage Discharge'!E$26:E$126,1),2))*(C732-INDEX('Step 4 Stage Discharge'!E$26:F$126,MATCH(C732,'Step 4 Stage Discharge'!E$26:E$126,1),1))/(INDEX('Step 4 Stage Discharge'!E$26:F$126,MATCH(C732,'Step 4 Stage Discharge'!E$26:E$126,1)+1,1)-INDEX('Step 4 Stage Discharge'!E$26:F$126,MATCH(C732,'Step 4 Stage Discharge'!E$26:E$126,1),1))</f>
        <v>0</v>
      </c>
      <c r="E732" s="219">
        <f>INDEX('Step 4 Stage Discharge'!E$26:M$126,MATCH(C732,'Step 4 Stage Discharge'!E$26:E$126,1),9)+(INDEX('Step 4 Stage Discharge'!E$26:M$126,MATCH('Step 6 Quality Check'!C732,'Step 4 Stage Discharge'!E$26:E$126,1)+1,9)-INDEX('Step 4 Stage Discharge'!E$26:M$126,MATCH('Step 6 Quality Check'!C732,'Step 4 Stage Discharge'!E$26:E$126,1),9))*('Step 6 Quality Check'!C732-INDEX('Step 4 Stage Discharge'!E$26:M$126,MATCH('Step 6 Quality Check'!C732,'Step 4 Stage Discharge'!E$26:E$126,1),1))/(INDEX('Step 4 Stage Discharge'!E$26:M$126,MATCH('Step 6 Quality Check'!C732,'Step 4 Stage Discharge'!E$26:E$126,1)+1,1)-INDEX('Step 4 Stage Discharge'!E$26:M$126,MATCH('Step 6 Quality Check'!C732,'Step 4 Stage Discharge'!E$26:E$126,1),1))</f>
        <v>4.3639431710317386E-3</v>
      </c>
      <c r="F732" s="218">
        <f t="shared" si="55"/>
        <v>0</v>
      </c>
      <c r="G732" s="218">
        <f t="shared" si="56"/>
        <v>0</v>
      </c>
    </row>
    <row r="733" spans="1:7">
      <c r="A733" s="217">
        <f t="shared" si="57"/>
        <v>3585</v>
      </c>
      <c r="B733" s="216">
        <f t="shared" si="58"/>
        <v>99.1</v>
      </c>
      <c r="C733" s="218">
        <f t="shared" si="59"/>
        <v>0</v>
      </c>
      <c r="D733" s="219">
        <f>INDEX('Step 4 Stage Discharge'!E$26:F$126,MATCH(C733,'Step 4 Stage Discharge'!E$26:E$126,1),2)+(INDEX('Step 4 Stage Discharge'!E$26:F$126,MATCH(C733,'Step 4 Stage Discharge'!E$26:E$126,1)+1,2)-INDEX('Step 4 Stage Discharge'!E$26:F$126,MATCH(C733,'Step 4 Stage Discharge'!E$26:E$126,1),2))*(C733-INDEX('Step 4 Stage Discharge'!E$26:F$126,MATCH(C733,'Step 4 Stage Discharge'!E$26:E$126,1),1))/(INDEX('Step 4 Stage Discharge'!E$26:F$126,MATCH(C733,'Step 4 Stage Discharge'!E$26:E$126,1)+1,1)-INDEX('Step 4 Stage Discharge'!E$26:F$126,MATCH(C733,'Step 4 Stage Discharge'!E$26:E$126,1),1))</f>
        <v>0</v>
      </c>
      <c r="E733" s="219">
        <f>INDEX('Step 4 Stage Discharge'!E$26:M$126,MATCH(C733,'Step 4 Stage Discharge'!E$26:E$126,1),9)+(INDEX('Step 4 Stage Discharge'!E$26:M$126,MATCH('Step 6 Quality Check'!C733,'Step 4 Stage Discharge'!E$26:E$126,1)+1,9)-INDEX('Step 4 Stage Discharge'!E$26:M$126,MATCH('Step 6 Quality Check'!C733,'Step 4 Stage Discharge'!E$26:E$126,1),9))*('Step 6 Quality Check'!C733-INDEX('Step 4 Stage Discharge'!E$26:M$126,MATCH('Step 6 Quality Check'!C733,'Step 4 Stage Discharge'!E$26:E$126,1),1))/(INDEX('Step 4 Stage Discharge'!E$26:M$126,MATCH('Step 6 Quality Check'!C733,'Step 4 Stage Discharge'!E$26:E$126,1)+1,1)-INDEX('Step 4 Stage Discharge'!E$26:M$126,MATCH('Step 6 Quality Check'!C733,'Step 4 Stage Discharge'!E$26:E$126,1),1))</f>
        <v>4.3639431710317386E-3</v>
      </c>
      <c r="F733" s="218">
        <f t="shared" si="55"/>
        <v>0</v>
      </c>
      <c r="G733" s="218">
        <f t="shared" si="56"/>
        <v>0</v>
      </c>
    </row>
    <row r="734" spans="1:7">
      <c r="A734" s="217">
        <f t="shared" si="57"/>
        <v>3590</v>
      </c>
      <c r="B734" s="216">
        <f t="shared" si="58"/>
        <v>99.1</v>
      </c>
      <c r="C734" s="218">
        <f t="shared" si="59"/>
        <v>0</v>
      </c>
      <c r="D734" s="219">
        <f>INDEX('Step 4 Stage Discharge'!E$26:F$126,MATCH(C734,'Step 4 Stage Discharge'!E$26:E$126,1),2)+(INDEX('Step 4 Stage Discharge'!E$26:F$126,MATCH(C734,'Step 4 Stage Discharge'!E$26:E$126,1)+1,2)-INDEX('Step 4 Stage Discharge'!E$26:F$126,MATCH(C734,'Step 4 Stage Discharge'!E$26:E$126,1),2))*(C734-INDEX('Step 4 Stage Discharge'!E$26:F$126,MATCH(C734,'Step 4 Stage Discharge'!E$26:E$126,1),1))/(INDEX('Step 4 Stage Discharge'!E$26:F$126,MATCH(C734,'Step 4 Stage Discharge'!E$26:E$126,1)+1,1)-INDEX('Step 4 Stage Discharge'!E$26:F$126,MATCH(C734,'Step 4 Stage Discharge'!E$26:E$126,1),1))</f>
        <v>0</v>
      </c>
      <c r="E734" s="219">
        <f>INDEX('Step 4 Stage Discharge'!E$26:M$126,MATCH(C734,'Step 4 Stage Discharge'!E$26:E$126,1),9)+(INDEX('Step 4 Stage Discharge'!E$26:M$126,MATCH('Step 6 Quality Check'!C734,'Step 4 Stage Discharge'!E$26:E$126,1)+1,9)-INDEX('Step 4 Stage Discharge'!E$26:M$126,MATCH('Step 6 Quality Check'!C734,'Step 4 Stage Discharge'!E$26:E$126,1),9))*('Step 6 Quality Check'!C734-INDEX('Step 4 Stage Discharge'!E$26:M$126,MATCH('Step 6 Quality Check'!C734,'Step 4 Stage Discharge'!E$26:E$126,1),1))/(INDEX('Step 4 Stage Discharge'!E$26:M$126,MATCH('Step 6 Quality Check'!C734,'Step 4 Stage Discharge'!E$26:E$126,1)+1,1)-INDEX('Step 4 Stage Discharge'!E$26:M$126,MATCH('Step 6 Quality Check'!C734,'Step 4 Stage Discharge'!E$26:E$126,1),1))</f>
        <v>4.3639431710317386E-3</v>
      </c>
      <c r="F734" s="218">
        <f t="shared" si="55"/>
        <v>0</v>
      </c>
      <c r="G734" s="218">
        <f t="shared" si="56"/>
        <v>0</v>
      </c>
    </row>
    <row r="735" spans="1:7">
      <c r="A735" s="217">
        <f t="shared" si="57"/>
        <v>3595</v>
      </c>
      <c r="B735" s="216">
        <f t="shared" si="58"/>
        <v>99.1</v>
      </c>
      <c r="C735" s="218">
        <f t="shared" si="59"/>
        <v>0</v>
      </c>
      <c r="D735" s="219">
        <f>INDEX('Step 4 Stage Discharge'!E$26:F$126,MATCH(C735,'Step 4 Stage Discharge'!E$26:E$126,1),2)+(INDEX('Step 4 Stage Discharge'!E$26:F$126,MATCH(C735,'Step 4 Stage Discharge'!E$26:E$126,1)+1,2)-INDEX('Step 4 Stage Discharge'!E$26:F$126,MATCH(C735,'Step 4 Stage Discharge'!E$26:E$126,1),2))*(C735-INDEX('Step 4 Stage Discharge'!E$26:F$126,MATCH(C735,'Step 4 Stage Discharge'!E$26:E$126,1),1))/(INDEX('Step 4 Stage Discharge'!E$26:F$126,MATCH(C735,'Step 4 Stage Discharge'!E$26:E$126,1)+1,1)-INDEX('Step 4 Stage Discharge'!E$26:F$126,MATCH(C735,'Step 4 Stage Discharge'!E$26:E$126,1),1))</f>
        <v>0</v>
      </c>
      <c r="E735" s="219">
        <f>INDEX('Step 4 Stage Discharge'!E$26:M$126,MATCH(C735,'Step 4 Stage Discharge'!E$26:E$126,1),9)+(INDEX('Step 4 Stage Discharge'!E$26:M$126,MATCH('Step 6 Quality Check'!C735,'Step 4 Stage Discharge'!E$26:E$126,1)+1,9)-INDEX('Step 4 Stage Discharge'!E$26:M$126,MATCH('Step 6 Quality Check'!C735,'Step 4 Stage Discharge'!E$26:E$126,1),9))*('Step 6 Quality Check'!C735-INDEX('Step 4 Stage Discharge'!E$26:M$126,MATCH('Step 6 Quality Check'!C735,'Step 4 Stage Discharge'!E$26:E$126,1),1))/(INDEX('Step 4 Stage Discharge'!E$26:M$126,MATCH('Step 6 Quality Check'!C735,'Step 4 Stage Discharge'!E$26:E$126,1)+1,1)-INDEX('Step 4 Stage Discharge'!E$26:M$126,MATCH('Step 6 Quality Check'!C735,'Step 4 Stage Discharge'!E$26:E$126,1),1))</f>
        <v>4.3639431710317386E-3</v>
      </c>
      <c r="F735" s="218">
        <f t="shared" si="55"/>
        <v>0</v>
      </c>
      <c r="G735" s="218">
        <f t="shared" si="56"/>
        <v>0</v>
      </c>
    </row>
    <row r="736" spans="1:7">
      <c r="A736" s="217">
        <f t="shared" si="57"/>
        <v>3600</v>
      </c>
      <c r="B736" s="216">
        <f t="shared" si="58"/>
        <v>99.1</v>
      </c>
      <c r="C736" s="218">
        <f t="shared" si="59"/>
        <v>0</v>
      </c>
      <c r="D736" s="219">
        <f>INDEX('Step 4 Stage Discharge'!E$26:F$126,MATCH(C736,'Step 4 Stage Discharge'!E$26:E$126,1),2)+(INDEX('Step 4 Stage Discharge'!E$26:F$126,MATCH(C736,'Step 4 Stage Discharge'!E$26:E$126,1)+1,2)-INDEX('Step 4 Stage Discharge'!E$26:F$126,MATCH(C736,'Step 4 Stage Discharge'!E$26:E$126,1),2))*(C736-INDEX('Step 4 Stage Discharge'!E$26:F$126,MATCH(C736,'Step 4 Stage Discharge'!E$26:E$126,1),1))/(INDEX('Step 4 Stage Discharge'!E$26:F$126,MATCH(C736,'Step 4 Stage Discharge'!E$26:E$126,1)+1,1)-INDEX('Step 4 Stage Discharge'!E$26:F$126,MATCH(C736,'Step 4 Stage Discharge'!E$26:E$126,1),1))</f>
        <v>0</v>
      </c>
      <c r="E736" s="219">
        <f>INDEX('Step 4 Stage Discharge'!E$26:M$126,MATCH(C736,'Step 4 Stage Discharge'!E$26:E$126,1),9)+(INDEX('Step 4 Stage Discharge'!E$26:M$126,MATCH('Step 6 Quality Check'!C736,'Step 4 Stage Discharge'!E$26:E$126,1)+1,9)-INDEX('Step 4 Stage Discharge'!E$26:M$126,MATCH('Step 6 Quality Check'!C736,'Step 4 Stage Discharge'!E$26:E$126,1),9))*('Step 6 Quality Check'!C736-INDEX('Step 4 Stage Discharge'!E$26:M$126,MATCH('Step 6 Quality Check'!C736,'Step 4 Stage Discharge'!E$26:E$126,1),1))/(INDEX('Step 4 Stage Discharge'!E$26:M$126,MATCH('Step 6 Quality Check'!C736,'Step 4 Stage Discharge'!E$26:E$126,1)+1,1)-INDEX('Step 4 Stage Discharge'!E$26:M$126,MATCH('Step 6 Quality Check'!C736,'Step 4 Stage Discharge'!E$26:E$126,1),1))</f>
        <v>4.3639431710317386E-3</v>
      </c>
      <c r="F736" s="218">
        <f t="shared" si="55"/>
        <v>0</v>
      </c>
      <c r="G736" s="218">
        <f t="shared" si="56"/>
        <v>0</v>
      </c>
    </row>
    <row r="737" spans="1:7">
      <c r="A737" s="217">
        <f t="shared" si="57"/>
        <v>3605</v>
      </c>
      <c r="B737" s="216">
        <f t="shared" si="58"/>
        <v>99.1</v>
      </c>
      <c r="C737" s="218">
        <f t="shared" si="59"/>
        <v>0</v>
      </c>
      <c r="D737" s="219">
        <f>INDEX('Step 4 Stage Discharge'!E$26:F$126,MATCH(C737,'Step 4 Stage Discharge'!E$26:E$126,1),2)+(INDEX('Step 4 Stage Discharge'!E$26:F$126,MATCH(C737,'Step 4 Stage Discharge'!E$26:E$126,1)+1,2)-INDEX('Step 4 Stage Discharge'!E$26:F$126,MATCH(C737,'Step 4 Stage Discharge'!E$26:E$126,1),2))*(C737-INDEX('Step 4 Stage Discharge'!E$26:F$126,MATCH(C737,'Step 4 Stage Discharge'!E$26:E$126,1),1))/(INDEX('Step 4 Stage Discharge'!E$26:F$126,MATCH(C737,'Step 4 Stage Discharge'!E$26:E$126,1)+1,1)-INDEX('Step 4 Stage Discharge'!E$26:F$126,MATCH(C737,'Step 4 Stage Discharge'!E$26:E$126,1),1))</f>
        <v>0</v>
      </c>
      <c r="E737" s="219">
        <f>INDEX('Step 4 Stage Discharge'!E$26:M$126,MATCH(C737,'Step 4 Stage Discharge'!E$26:E$126,1),9)+(INDEX('Step 4 Stage Discharge'!E$26:M$126,MATCH('Step 6 Quality Check'!C737,'Step 4 Stage Discharge'!E$26:E$126,1)+1,9)-INDEX('Step 4 Stage Discharge'!E$26:M$126,MATCH('Step 6 Quality Check'!C737,'Step 4 Stage Discharge'!E$26:E$126,1),9))*('Step 6 Quality Check'!C737-INDEX('Step 4 Stage Discharge'!E$26:M$126,MATCH('Step 6 Quality Check'!C737,'Step 4 Stage Discharge'!E$26:E$126,1),1))/(INDEX('Step 4 Stage Discharge'!E$26:M$126,MATCH('Step 6 Quality Check'!C737,'Step 4 Stage Discharge'!E$26:E$126,1)+1,1)-INDEX('Step 4 Stage Discharge'!E$26:M$126,MATCH('Step 6 Quality Check'!C737,'Step 4 Stage Discharge'!E$26:E$126,1),1))</f>
        <v>4.3639431710317386E-3</v>
      </c>
      <c r="F737" s="218">
        <f t="shared" si="55"/>
        <v>0</v>
      </c>
      <c r="G737" s="218">
        <f t="shared" si="56"/>
        <v>0</v>
      </c>
    </row>
    <row r="738" spans="1:7">
      <c r="A738" s="217">
        <f t="shared" si="57"/>
        <v>3610</v>
      </c>
      <c r="B738" s="216">
        <f t="shared" si="58"/>
        <v>99.1</v>
      </c>
      <c r="C738" s="218">
        <f t="shared" si="59"/>
        <v>0</v>
      </c>
      <c r="D738" s="219">
        <f>INDEX('Step 4 Stage Discharge'!E$26:F$126,MATCH(C738,'Step 4 Stage Discharge'!E$26:E$126,1),2)+(INDEX('Step 4 Stage Discharge'!E$26:F$126,MATCH(C738,'Step 4 Stage Discharge'!E$26:E$126,1)+1,2)-INDEX('Step 4 Stage Discharge'!E$26:F$126,MATCH(C738,'Step 4 Stage Discharge'!E$26:E$126,1),2))*(C738-INDEX('Step 4 Stage Discharge'!E$26:F$126,MATCH(C738,'Step 4 Stage Discharge'!E$26:E$126,1),1))/(INDEX('Step 4 Stage Discharge'!E$26:F$126,MATCH(C738,'Step 4 Stage Discharge'!E$26:E$126,1)+1,1)-INDEX('Step 4 Stage Discharge'!E$26:F$126,MATCH(C738,'Step 4 Stage Discharge'!E$26:E$126,1),1))</f>
        <v>0</v>
      </c>
      <c r="E738" s="219">
        <f>INDEX('Step 4 Stage Discharge'!E$26:M$126,MATCH(C738,'Step 4 Stage Discharge'!E$26:E$126,1),9)+(INDEX('Step 4 Stage Discharge'!E$26:M$126,MATCH('Step 6 Quality Check'!C738,'Step 4 Stage Discharge'!E$26:E$126,1)+1,9)-INDEX('Step 4 Stage Discharge'!E$26:M$126,MATCH('Step 6 Quality Check'!C738,'Step 4 Stage Discharge'!E$26:E$126,1),9))*('Step 6 Quality Check'!C738-INDEX('Step 4 Stage Discharge'!E$26:M$126,MATCH('Step 6 Quality Check'!C738,'Step 4 Stage Discharge'!E$26:E$126,1),1))/(INDEX('Step 4 Stage Discharge'!E$26:M$126,MATCH('Step 6 Quality Check'!C738,'Step 4 Stage Discharge'!E$26:E$126,1)+1,1)-INDEX('Step 4 Stage Discharge'!E$26:M$126,MATCH('Step 6 Quality Check'!C738,'Step 4 Stage Discharge'!E$26:E$126,1),1))</f>
        <v>4.3639431710317386E-3</v>
      </c>
      <c r="F738" s="218">
        <f t="shared" si="55"/>
        <v>0</v>
      </c>
      <c r="G738" s="218">
        <f t="shared" si="56"/>
        <v>0</v>
      </c>
    </row>
    <row r="739" spans="1:7">
      <c r="A739" s="217">
        <f t="shared" si="57"/>
        <v>3615</v>
      </c>
      <c r="B739" s="216">
        <f t="shared" si="58"/>
        <v>99.1</v>
      </c>
      <c r="C739" s="218">
        <f t="shared" si="59"/>
        <v>0</v>
      </c>
      <c r="D739" s="219">
        <f>INDEX('Step 4 Stage Discharge'!E$26:F$126,MATCH(C739,'Step 4 Stage Discharge'!E$26:E$126,1),2)+(INDEX('Step 4 Stage Discharge'!E$26:F$126,MATCH(C739,'Step 4 Stage Discharge'!E$26:E$126,1)+1,2)-INDEX('Step 4 Stage Discharge'!E$26:F$126,MATCH(C739,'Step 4 Stage Discharge'!E$26:E$126,1),2))*(C739-INDEX('Step 4 Stage Discharge'!E$26:F$126,MATCH(C739,'Step 4 Stage Discharge'!E$26:E$126,1),1))/(INDEX('Step 4 Stage Discharge'!E$26:F$126,MATCH(C739,'Step 4 Stage Discharge'!E$26:E$126,1)+1,1)-INDEX('Step 4 Stage Discharge'!E$26:F$126,MATCH(C739,'Step 4 Stage Discharge'!E$26:E$126,1),1))</f>
        <v>0</v>
      </c>
      <c r="E739" s="219">
        <f>INDEX('Step 4 Stage Discharge'!E$26:M$126,MATCH(C739,'Step 4 Stage Discharge'!E$26:E$126,1),9)+(INDEX('Step 4 Stage Discharge'!E$26:M$126,MATCH('Step 6 Quality Check'!C739,'Step 4 Stage Discharge'!E$26:E$126,1)+1,9)-INDEX('Step 4 Stage Discharge'!E$26:M$126,MATCH('Step 6 Quality Check'!C739,'Step 4 Stage Discharge'!E$26:E$126,1),9))*('Step 6 Quality Check'!C739-INDEX('Step 4 Stage Discharge'!E$26:M$126,MATCH('Step 6 Quality Check'!C739,'Step 4 Stage Discharge'!E$26:E$126,1),1))/(INDEX('Step 4 Stage Discharge'!E$26:M$126,MATCH('Step 6 Quality Check'!C739,'Step 4 Stage Discharge'!E$26:E$126,1)+1,1)-INDEX('Step 4 Stage Discharge'!E$26:M$126,MATCH('Step 6 Quality Check'!C739,'Step 4 Stage Discharge'!E$26:E$126,1),1))</f>
        <v>4.3639431710317386E-3</v>
      </c>
      <c r="F739" s="218">
        <f t="shared" si="55"/>
        <v>0</v>
      </c>
      <c r="G739" s="218">
        <f t="shared" si="56"/>
        <v>0</v>
      </c>
    </row>
    <row r="740" spans="1:7">
      <c r="A740" s="217">
        <f t="shared" si="57"/>
        <v>3620</v>
      </c>
      <c r="B740" s="216">
        <f t="shared" si="58"/>
        <v>99.1</v>
      </c>
      <c r="C740" s="218">
        <f t="shared" si="59"/>
        <v>0</v>
      </c>
      <c r="D740" s="219">
        <f>INDEX('Step 4 Stage Discharge'!E$26:F$126,MATCH(C740,'Step 4 Stage Discharge'!E$26:E$126,1),2)+(INDEX('Step 4 Stage Discharge'!E$26:F$126,MATCH(C740,'Step 4 Stage Discharge'!E$26:E$126,1)+1,2)-INDEX('Step 4 Stage Discharge'!E$26:F$126,MATCH(C740,'Step 4 Stage Discharge'!E$26:E$126,1),2))*(C740-INDEX('Step 4 Stage Discharge'!E$26:F$126,MATCH(C740,'Step 4 Stage Discharge'!E$26:E$126,1),1))/(INDEX('Step 4 Stage Discharge'!E$26:F$126,MATCH(C740,'Step 4 Stage Discharge'!E$26:E$126,1)+1,1)-INDEX('Step 4 Stage Discharge'!E$26:F$126,MATCH(C740,'Step 4 Stage Discharge'!E$26:E$126,1),1))</f>
        <v>0</v>
      </c>
      <c r="E740" s="219">
        <f>INDEX('Step 4 Stage Discharge'!E$26:M$126,MATCH(C740,'Step 4 Stage Discharge'!E$26:E$126,1),9)+(INDEX('Step 4 Stage Discharge'!E$26:M$126,MATCH('Step 6 Quality Check'!C740,'Step 4 Stage Discharge'!E$26:E$126,1)+1,9)-INDEX('Step 4 Stage Discharge'!E$26:M$126,MATCH('Step 6 Quality Check'!C740,'Step 4 Stage Discharge'!E$26:E$126,1),9))*('Step 6 Quality Check'!C740-INDEX('Step 4 Stage Discharge'!E$26:M$126,MATCH('Step 6 Quality Check'!C740,'Step 4 Stage Discharge'!E$26:E$126,1),1))/(INDEX('Step 4 Stage Discharge'!E$26:M$126,MATCH('Step 6 Quality Check'!C740,'Step 4 Stage Discharge'!E$26:E$126,1)+1,1)-INDEX('Step 4 Stage Discharge'!E$26:M$126,MATCH('Step 6 Quality Check'!C740,'Step 4 Stage Discharge'!E$26:E$126,1),1))</f>
        <v>4.3639431710317386E-3</v>
      </c>
      <c r="F740" s="218">
        <f t="shared" si="55"/>
        <v>0</v>
      </c>
      <c r="G740" s="218">
        <f t="shared" si="56"/>
        <v>0</v>
      </c>
    </row>
    <row r="741" spans="1:7">
      <c r="A741" s="217">
        <f t="shared" si="57"/>
        <v>3625</v>
      </c>
      <c r="B741" s="216">
        <f t="shared" si="58"/>
        <v>99.1</v>
      </c>
      <c r="C741" s="218">
        <f t="shared" si="59"/>
        <v>0</v>
      </c>
      <c r="D741" s="219">
        <f>INDEX('Step 4 Stage Discharge'!E$26:F$126,MATCH(C741,'Step 4 Stage Discharge'!E$26:E$126,1),2)+(INDEX('Step 4 Stage Discharge'!E$26:F$126,MATCH(C741,'Step 4 Stage Discharge'!E$26:E$126,1)+1,2)-INDEX('Step 4 Stage Discharge'!E$26:F$126,MATCH(C741,'Step 4 Stage Discharge'!E$26:E$126,1),2))*(C741-INDEX('Step 4 Stage Discharge'!E$26:F$126,MATCH(C741,'Step 4 Stage Discharge'!E$26:E$126,1),1))/(INDEX('Step 4 Stage Discharge'!E$26:F$126,MATCH(C741,'Step 4 Stage Discharge'!E$26:E$126,1)+1,1)-INDEX('Step 4 Stage Discharge'!E$26:F$126,MATCH(C741,'Step 4 Stage Discharge'!E$26:E$126,1),1))</f>
        <v>0</v>
      </c>
      <c r="E741" s="219">
        <f>INDEX('Step 4 Stage Discharge'!E$26:M$126,MATCH(C741,'Step 4 Stage Discharge'!E$26:E$126,1),9)+(INDEX('Step 4 Stage Discharge'!E$26:M$126,MATCH('Step 6 Quality Check'!C741,'Step 4 Stage Discharge'!E$26:E$126,1)+1,9)-INDEX('Step 4 Stage Discharge'!E$26:M$126,MATCH('Step 6 Quality Check'!C741,'Step 4 Stage Discharge'!E$26:E$126,1),9))*('Step 6 Quality Check'!C741-INDEX('Step 4 Stage Discharge'!E$26:M$126,MATCH('Step 6 Quality Check'!C741,'Step 4 Stage Discharge'!E$26:E$126,1),1))/(INDEX('Step 4 Stage Discharge'!E$26:M$126,MATCH('Step 6 Quality Check'!C741,'Step 4 Stage Discharge'!E$26:E$126,1)+1,1)-INDEX('Step 4 Stage Discharge'!E$26:M$126,MATCH('Step 6 Quality Check'!C741,'Step 4 Stage Discharge'!E$26:E$126,1),1))</f>
        <v>4.3639431710317386E-3</v>
      </c>
      <c r="F741" s="218">
        <f t="shared" si="55"/>
        <v>0</v>
      </c>
      <c r="G741" s="218">
        <f t="shared" si="56"/>
        <v>0</v>
      </c>
    </row>
    <row r="742" spans="1:7">
      <c r="A742" s="217">
        <f t="shared" si="57"/>
        <v>3630</v>
      </c>
      <c r="B742" s="216">
        <f t="shared" si="58"/>
        <v>99.1</v>
      </c>
      <c r="C742" s="218">
        <f t="shared" si="59"/>
        <v>0</v>
      </c>
      <c r="D742" s="219">
        <f>INDEX('Step 4 Stage Discharge'!E$26:F$126,MATCH(C742,'Step 4 Stage Discharge'!E$26:E$126,1),2)+(INDEX('Step 4 Stage Discharge'!E$26:F$126,MATCH(C742,'Step 4 Stage Discharge'!E$26:E$126,1)+1,2)-INDEX('Step 4 Stage Discharge'!E$26:F$126,MATCH(C742,'Step 4 Stage Discharge'!E$26:E$126,1),2))*(C742-INDEX('Step 4 Stage Discharge'!E$26:F$126,MATCH(C742,'Step 4 Stage Discharge'!E$26:E$126,1),1))/(INDEX('Step 4 Stage Discharge'!E$26:F$126,MATCH(C742,'Step 4 Stage Discharge'!E$26:E$126,1)+1,1)-INDEX('Step 4 Stage Discharge'!E$26:F$126,MATCH(C742,'Step 4 Stage Discharge'!E$26:E$126,1),1))</f>
        <v>0</v>
      </c>
      <c r="E742" s="219">
        <f>INDEX('Step 4 Stage Discharge'!E$26:M$126,MATCH(C742,'Step 4 Stage Discharge'!E$26:E$126,1),9)+(INDEX('Step 4 Stage Discharge'!E$26:M$126,MATCH('Step 6 Quality Check'!C742,'Step 4 Stage Discharge'!E$26:E$126,1)+1,9)-INDEX('Step 4 Stage Discharge'!E$26:M$126,MATCH('Step 6 Quality Check'!C742,'Step 4 Stage Discharge'!E$26:E$126,1),9))*('Step 6 Quality Check'!C742-INDEX('Step 4 Stage Discharge'!E$26:M$126,MATCH('Step 6 Quality Check'!C742,'Step 4 Stage Discharge'!E$26:E$126,1),1))/(INDEX('Step 4 Stage Discharge'!E$26:M$126,MATCH('Step 6 Quality Check'!C742,'Step 4 Stage Discharge'!E$26:E$126,1)+1,1)-INDEX('Step 4 Stage Discharge'!E$26:M$126,MATCH('Step 6 Quality Check'!C742,'Step 4 Stage Discharge'!E$26:E$126,1),1))</f>
        <v>4.3639431710317386E-3</v>
      </c>
      <c r="F742" s="218">
        <f t="shared" si="55"/>
        <v>0</v>
      </c>
      <c r="G742" s="218">
        <f t="shared" si="56"/>
        <v>0</v>
      </c>
    </row>
    <row r="743" spans="1:7">
      <c r="A743" s="217">
        <f t="shared" si="57"/>
        <v>3635</v>
      </c>
      <c r="B743" s="216">
        <f t="shared" si="58"/>
        <v>99.1</v>
      </c>
      <c r="C743" s="218">
        <f t="shared" si="59"/>
        <v>0</v>
      </c>
      <c r="D743" s="219">
        <f>INDEX('Step 4 Stage Discharge'!E$26:F$126,MATCH(C743,'Step 4 Stage Discharge'!E$26:E$126,1),2)+(INDEX('Step 4 Stage Discharge'!E$26:F$126,MATCH(C743,'Step 4 Stage Discharge'!E$26:E$126,1)+1,2)-INDEX('Step 4 Stage Discharge'!E$26:F$126,MATCH(C743,'Step 4 Stage Discharge'!E$26:E$126,1),2))*(C743-INDEX('Step 4 Stage Discharge'!E$26:F$126,MATCH(C743,'Step 4 Stage Discharge'!E$26:E$126,1),1))/(INDEX('Step 4 Stage Discharge'!E$26:F$126,MATCH(C743,'Step 4 Stage Discharge'!E$26:E$126,1)+1,1)-INDEX('Step 4 Stage Discharge'!E$26:F$126,MATCH(C743,'Step 4 Stage Discharge'!E$26:E$126,1),1))</f>
        <v>0</v>
      </c>
      <c r="E743" s="219">
        <f>INDEX('Step 4 Stage Discharge'!E$26:M$126,MATCH(C743,'Step 4 Stage Discharge'!E$26:E$126,1),9)+(INDEX('Step 4 Stage Discharge'!E$26:M$126,MATCH('Step 6 Quality Check'!C743,'Step 4 Stage Discharge'!E$26:E$126,1)+1,9)-INDEX('Step 4 Stage Discharge'!E$26:M$126,MATCH('Step 6 Quality Check'!C743,'Step 4 Stage Discharge'!E$26:E$126,1),9))*('Step 6 Quality Check'!C743-INDEX('Step 4 Stage Discharge'!E$26:M$126,MATCH('Step 6 Quality Check'!C743,'Step 4 Stage Discharge'!E$26:E$126,1),1))/(INDEX('Step 4 Stage Discharge'!E$26:M$126,MATCH('Step 6 Quality Check'!C743,'Step 4 Stage Discharge'!E$26:E$126,1)+1,1)-INDEX('Step 4 Stage Discharge'!E$26:M$126,MATCH('Step 6 Quality Check'!C743,'Step 4 Stage Discharge'!E$26:E$126,1),1))</f>
        <v>4.3639431710317386E-3</v>
      </c>
      <c r="F743" s="218">
        <f t="shared" si="55"/>
        <v>0</v>
      </c>
      <c r="G743" s="218">
        <f t="shared" si="56"/>
        <v>0</v>
      </c>
    </row>
    <row r="744" spans="1:7">
      <c r="A744" s="217">
        <f t="shared" si="57"/>
        <v>3640</v>
      </c>
      <c r="B744" s="216">
        <f t="shared" si="58"/>
        <v>99.1</v>
      </c>
      <c r="C744" s="218">
        <f t="shared" si="59"/>
        <v>0</v>
      </c>
      <c r="D744" s="219">
        <f>INDEX('Step 4 Stage Discharge'!E$26:F$126,MATCH(C744,'Step 4 Stage Discharge'!E$26:E$126,1),2)+(INDEX('Step 4 Stage Discharge'!E$26:F$126,MATCH(C744,'Step 4 Stage Discharge'!E$26:E$126,1)+1,2)-INDEX('Step 4 Stage Discharge'!E$26:F$126,MATCH(C744,'Step 4 Stage Discharge'!E$26:E$126,1),2))*(C744-INDEX('Step 4 Stage Discharge'!E$26:F$126,MATCH(C744,'Step 4 Stage Discharge'!E$26:E$126,1),1))/(INDEX('Step 4 Stage Discharge'!E$26:F$126,MATCH(C744,'Step 4 Stage Discharge'!E$26:E$126,1)+1,1)-INDEX('Step 4 Stage Discharge'!E$26:F$126,MATCH(C744,'Step 4 Stage Discharge'!E$26:E$126,1),1))</f>
        <v>0</v>
      </c>
      <c r="E744" s="219">
        <f>INDEX('Step 4 Stage Discharge'!E$26:M$126,MATCH(C744,'Step 4 Stage Discharge'!E$26:E$126,1),9)+(INDEX('Step 4 Stage Discharge'!E$26:M$126,MATCH('Step 6 Quality Check'!C744,'Step 4 Stage Discharge'!E$26:E$126,1)+1,9)-INDEX('Step 4 Stage Discharge'!E$26:M$126,MATCH('Step 6 Quality Check'!C744,'Step 4 Stage Discharge'!E$26:E$126,1),9))*('Step 6 Quality Check'!C744-INDEX('Step 4 Stage Discharge'!E$26:M$126,MATCH('Step 6 Quality Check'!C744,'Step 4 Stage Discharge'!E$26:E$126,1),1))/(INDEX('Step 4 Stage Discharge'!E$26:M$126,MATCH('Step 6 Quality Check'!C744,'Step 4 Stage Discharge'!E$26:E$126,1)+1,1)-INDEX('Step 4 Stage Discharge'!E$26:M$126,MATCH('Step 6 Quality Check'!C744,'Step 4 Stage Discharge'!E$26:E$126,1),1))</f>
        <v>4.3639431710317386E-3</v>
      </c>
      <c r="F744" s="218">
        <f t="shared" si="55"/>
        <v>0</v>
      </c>
      <c r="G744" s="218">
        <f t="shared" si="56"/>
        <v>0</v>
      </c>
    </row>
    <row r="745" spans="1:7">
      <c r="A745" s="217">
        <f t="shared" si="57"/>
        <v>3645</v>
      </c>
      <c r="B745" s="216">
        <f t="shared" si="58"/>
        <v>99.1</v>
      </c>
      <c r="C745" s="218">
        <f t="shared" si="59"/>
        <v>0</v>
      </c>
      <c r="D745" s="219">
        <f>INDEX('Step 4 Stage Discharge'!E$26:F$126,MATCH(C745,'Step 4 Stage Discharge'!E$26:E$126,1),2)+(INDEX('Step 4 Stage Discharge'!E$26:F$126,MATCH(C745,'Step 4 Stage Discharge'!E$26:E$126,1)+1,2)-INDEX('Step 4 Stage Discharge'!E$26:F$126,MATCH(C745,'Step 4 Stage Discharge'!E$26:E$126,1),2))*(C745-INDEX('Step 4 Stage Discharge'!E$26:F$126,MATCH(C745,'Step 4 Stage Discharge'!E$26:E$126,1),1))/(INDEX('Step 4 Stage Discharge'!E$26:F$126,MATCH(C745,'Step 4 Stage Discharge'!E$26:E$126,1)+1,1)-INDEX('Step 4 Stage Discharge'!E$26:F$126,MATCH(C745,'Step 4 Stage Discharge'!E$26:E$126,1),1))</f>
        <v>0</v>
      </c>
      <c r="E745" s="219">
        <f>INDEX('Step 4 Stage Discharge'!E$26:M$126,MATCH(C745,'Step 4 Stage Discharge'!E$26:E$126,1),9)+(INDEX('Step 4 Stage Discharge'!E$26:M$126,MATCH('Step 6 Quality Check'!C745,'Step 4 Stage Discharge'!E$26:E$126,1)+1,9)-INDEX('Step 4 Stage Discharge'!E$26:M$126,MATCH('Step 6 Quality Check'!C745,'Step 4 Stage Discharge'!E$26:E$126,1),9))*('Step 6 Quality Check'!C745-INDEX('Step 4 Stage Discharge'!E$26:M$126,MATCH('Step 6 Quality Check'!C745,'Step 4 Stage Discharge'!E$26:E$126,1),1))/(INDEX('Step 4 Stage Discharge'!E$26:M$126,MATCH('Step 6 Quality Check'!C745,'Step 4 Stage Discharge'!E$26:E$126,1)+1,1)-INDEX('Step 4 Stage Discharge'!E$26:M$126,MATCH('Step 6 Quality Check'!C745,'Step 4 Stage Discharge'!E$26:E$126,1),1))</f>
        <v>4.3639431710317386E-3</v>
      </c>
      <c r="F745" s="218">
        <f t="shared" si="55"/>
        <v>0</v>
      </c>
      <c r="G745" s="218">
        <f t="shared" si="56"/>
        <v>0</v>
      </c>
    </row>
    <row r="746" spans="1:7">
      <c r="A746" s="217">
        <f t="shared" si="57"/>
        <v>3650</v>
      </c>
      <c r="B746" s="216">
        <f t="shared" si="58"/>
        <v>99.1</v>
      </c>
      <c r="C746" s="218">
        <f t="shared" si="59"/>
        <v>0</v>
      </c>
      <c r="D746" s="219">
        <f>INDEX('Step 4 Stage Discharge'!E$26:F$126,MATCH(C746,'Step 4 Stage Discharge'!E$26:E$126,1),2)+(INDEX('Step 4 Stage Discharge'!E$26:F$126,MATCH(C746,'Step 4 Stage Discharge'!E$26:E$126,1)+1,2)-INDEX('Step 4 Stage Discharge'!E$26:F$126,MATCH(C746,'Step 4 Stage Discharge'!E$26:E$126,1),2))*(C746-INDEX('Step 4 Stage Discharge'!E$26:F$126,MATCH(C746,'Step 4 Stage Discharge'!E$26:E$126,1),1))/(INDEX('Step 4 Stage Discharge'!E$26:F$126,MATCH(C746,'Step 4 Stage Discharge'!E$26:E$126,1)+1,1)-INDEX('Step 4 Stage Discharge'!E$26:F$126,MATCH(C746,'Step 4 Stage Discharge'!E$26:E$126,1),1))</f>
        <v>0</v>
      </c>
      <c r="E746" s="219">
        <f>INDEX('Step 4 Stage Discharge'!E$26:M$126,MATCH(C746,'Step 4 Stage Discharge'!E$26:E$126,1),9)+(INDEX('Step 4 Stage Discharge'!E$26:M$126,MATCH('Step 6 Quality Check'!C746,'Step 4 Stage Discharge'!E$26:E$126,1)+1,9)-INDEX('Step 4 Stage Discharge'!E$26:M$126,MATCH('Step 6 Quality Check'!C746,'Step 4 Stage Discharge'!E$26:E$126,1),9))*('Step 6 Quality Check'!C746-INDEX('Step 4 Stage Discharge'!E$26:M$126,MATCH('Step 6 Quality Check'!C746,'Step 4 Stage Discharge'!E$26:E$126,1),1))/(INDEX('Step 4 Stage Discharge'!E$26:M$126,MATCH('Step 6 Quality Check'!C746,'Step 4 Stage Discharge'!E$26:E$126,1)+1,1)-INDEX('Step 4 Stage Discharge'!E$26:M$126,MATCH('Step 6 Quality Check'!C746,'Step 4 Stage Discharge'!E$26:E$126,1),1))</f>
        <v>4.3639431710317386E-3</v>
      </c>
      <c r="F746" s="218">
        <f t="shared" si="55"/>
        <v>0</v>
      </c>
      <c r="G746" s="218">
        <f t="shared" si="56"/>
        <v>0</v>
      </c>
    </row>
    <row r="747" spans="1:7">
      <c r="A747" s="217">
        <f t="shared" si="57"/>
        <v>3655</v>
      </c>
      <c r="B747" s="216">
        <f t="shared" si="58"/>
        <v>99.1</v>
      </c>
      <c r="C747" s="218">
        <f t="shared" si="59"/>
        <v>0</v>
      </c>
      <c r="D747" s="219">
        <f>INDEX('Step 4 Stage Discharge'!E$26:F$126,MATCH(C747,'Step 4 Stage Discharge'!E$26:E$126,1),2)+(INDEX('Step 4 Stage Discharge'!E$26:F$126,MATCH(C747,'Step 4 Stage Discharge'!E$26:E$126,1)+1,2)-INDEX('Step 4 Stage Discharge'!E$26:F$126,MATCH(C747,'Step 4 Stage Discharge'!E$26:E$126,1),2))*(C747-INDEX('Step 4 Stage Discharge'!E$26:F$126,MATCH(C747,'Step 4 Stage Discharge'!E$26:E$126,1),1))/(INDEX('Step 4 Stage Discharge'!E$26:F$126,MATCH(C747,'Step 4 Stage Discharge'!E$26:E$126,1)+1,1)-INDEX('Step 4 Stage Discharge'!E$26:F$126,MATCH(C747,'Step 4 Stage Discharge'!E$26:E$126,1),1))</f>
        <v>0</v>
      </c>
      <c r="E747" s="219">
        <f>INDEX('Step 4 Stage Discharge'!E$26:M$126,MATCH(C747,'Step 4 Stage Discharge'!E$26:E$126,1),9)+(INDEX('Step 4 Stage Discharge'!E$26:M$126,MATCH('Step 6 Quality Check'!C747,'Step 4 Stage Discharge'!E$26:E$126,1)+1,9)-INDEX('Step 4 Stage Discharge'!E$26:M$126,MATCH('Step 6 Quality Check'!C747,'Step 4 Stage Discharge'!E$26:E$126,1),9))*('Step 6 Quality Check'!C747-INDEX('Step 4 Stage Discharge'!E$26:M$126,MATCH('Step 6 Quality Check'!C747,'Step 4 Stage Discharge'!E$26:E$126,1),1))/(INDEX('Step 4 Stage Discharge'!E$26:M$126,MATCH('Step 6 Quality Check'!C747,'Step 4 Stage Discharge'!E$26:E$126,1)+1,1)-INDEX('Step 4 Stage Discharge'!E$26:M$126,MATCH('Step 6 Quality Check'!C747,'Step 4 Stage Discharge'!E$26:E$126,1),1))</f>
        <v>4.3639431710317386E-3</v>
      </c>
      <c r="F747" s="218">
        <f t="shared" si="55"/>
        <v>0</v>
      </c>
      <c r="G747" s="218">
        <f t="shared" si="56"/>
        <v>0</v>
      </c>
    </row>
    <row r="748" spans="1:7">
      <c r="A748" s="217">
        <f t="shared" si="57"/>
        <v>3660</v>
      </c>
      <c r="B748" s="216">
        <f t="shared" si="58"/>
        <v>99.1</v>
      </c>
      <c r="C748" s="218">
        <f t="shared" si="59"/>
        <v>0</v>
      </c>
      <c r="D748" s="219">
        <f>INDEX('Step 4 Stage Discharge'!E$26:F$126,MATCH(C748,'Step 4 Stage Discharge'!E$26:E$126,1),2)+(INDEX('Step 4 Stage Discharge'!E$26:F$126,MATCH(C748,'Step 4 Stage Discharge'!E$26:E$126,1)+1,2)-INDEX('Step 4 Stage Discharge'!E$26:F$126,MATCH(C748,'Step 4 Stage Discharge'!E$26:E$126,1),2))*(C748-INDEX('Step 4 Stage Discharge'!E$26:F$126,MATCH(C748,'Step 4 Stage Discharge'!E$26:E$126,1),1))/(INDEX('Step 4 Stage Discharge'!E$26:F$126,MATCH(C748,'Step 4 Stage Discharge'!E$26:E$126,1)+1,1)-INDEX('Step 4 Stage Discharge'!E$26:F$126,MATCH(C748,'Step 4 Stage Discharge'!E$26:E$126,1),1))</f>
        <v>0</v>
      </c>
      <c r="E748" s="219">
        <f>INDEX('Step 4 Stage Discharge'!E$26:M$126,MATCH(C748,'Step 4 Stage Discharge'!E$26:E$126,1),9)+(INDEX('Step 4 Stage Discharge'!E$26:M$126,MATCH('Step 6 Quality Check'!C748,'Step 4 Stage Discharge'!E$26:E$126,1)+1,9)-INDEX('Step 4 Stage Discharge'!E$26:M$126,MATCH('Step 6 Quality Check'!C748,'Step 4 Stage Discharge'!E$26:E$126,1),9))*('Step 6 Quality Check'!C748-INDEX('Step 4 Stage Discharge'!E$26:M$126,MATCH('Step 6 Quality Check'!C748,'Step 4 Stage Discharge'!E$26:E$126,1),1))/(INDEX('Step 4 Stage Discharge'!E$26:M$126,MATCH('Step 6 Quality Check'!C748,'Step 4 Stage Discharge'!E$26:E$126,1)+1,1)-INDEX('Step 4 Stage Discharge'!E$26:M$126,MATCH('Step 6 Quality Check'!C748,'Step 4 Stage Discharge'!E$26:E$126,1),1))</f>
        <v>4.3639431710317386E-3</v>
      </c>
      <c r="F748" s="218">
        <f t="shared" si="55"/>
        <v>0</v>
      </c>
      <c r="G748" s="218">
        <f t="shared" si="56"/>
        <v>0</v>
      </c>
    </row>
    <row r="749" spans="1:7">
      <c r="A749" s="217">
        <f t="shared" si="57"/>
        <v>3665</v>
      </c>
      <c r="B749" s="216">
        <f t="shared" si="58"/>
        <v>99.1</v>
      </c>
      <c r="C749" s="218">
        <f t="shared" si="59"/>
        <v>0</v>
      </c>
      <c r="D749" s="219">
        <f>INDEX('Step 4 Stage Discharge'!E$26:F$126,MATCH(C749,'Step 4 Stage Discharge'!E$26:E$126,1),2)+(INDEX('Step 4 Stage Discharge'!E$26:F$126,MATCH(C749,'Step 4 Stage Discharge'!E$26:E$126,1)+1,2)-INDEX('Step 4 Stage Discharge'!E$26:F$126,MATCH(C749,'Step 4 Stage Discharge'!E$26:E$126,1),2))*(C749-INDEX('Step 4 Stage Discharge'!E$26:F$126,MATCH(C749,'Step 4 Stage Discharge'!E$26:E$126,1),1))/(INDEX('Step 4 Stage Discharge'!E$26:F$126,MATCH(C749,'Step 4 Stage Discharge'!E$26:E$126,1)+1,1)-INDEX('Step 4 Stage Discharge'!E$26:F$126,MATCH(C749,'Step 4 Stage Discharge'!E$26:E$126,1),1))</f>
        <v>0</v>
      </c>
      <c r="E749" s="219">
        <f>INDEX('Step 4 Stage Discharge'!E$26:M$126,MATCH(C749,'Step 4 Stage Discharge'!E$26:E$126,1),9)+(INDEX('Step 4 Stage Discharge'!E$26:M$126,MATCH('Step 6 Quality Check'!C749,'Step 4 Stage Discharge'!E$26:E$126,1)+1,9)-INDEX('Step 4 Stage Discharge'!E$26:M$126,MATCH('Step 6 Quality Check'!C749,'Step 4 Stage Discharge'!E$26:E$126,1),9))*('Step 6 Quality Check'!C749-INDEX('Step 4 Stage Discharge'!E$26:M$126,MATCH('Step 6 Quality Check'!C749,'Step 4 Stage Discharge'!E$26:E$126,1),1))/(INDEX('Step 4 Stage Discharge'!E$26:M$126,MATCH('Step 6 Quality Check'!C749,'Step 4 Stage Discharge'!E$26:E$126,1)+1,1)-INDEX('Step 4 Stage Discharge'!E$26:M$126,MATCH('Step 6 Quality Check'!C749,'Step 4 Stage Discharge'!E$26:E$126,1),1))</f>
        <v>4.3639431710317386E-3</v>
      </c>
      <c r="F749" s="218">
        <f t="shared" si="55"/>
        <v>0</v>
      </c>
      <c r="G749" s="218">
        <f t="shared" si="56"/>
        <v>0</v>
      </c>
    </row>
    <row r="750" spans="1:7">
      <c r="A750" s="217">
        <f t="shared" si="57"/>
        <v>3670</v>
      </c>
      <c r="B750" s="216">
        <f t="shared" si="58"/>
        <v>99.1</v>
      </c>
      <c r="C750" s="218">
        <f t="shared" si="59"/>
        <v>0</v>
      </c>
      <c r="D750" s="219">
        <f>INDEX('Step 4 Stage Discharge'!E$26:F$126,MATCH(C750,'Step 4 Stage Discharge'!E$26:E$126,1),2)+(INDEX('Step 4 Stage Discharge'!E$26:F$126,MATCH(C750,'Step 4 Stage Discharge'!E$26:E$126,1)+1,2)-INDEX('Step 4 Stage Discharge'!E$26:F$126,MATCH(C750,'Step 4 Stage Discharge'!E$26:E$126,1),2))*(C750-INDEX('Step 4 Stage Discharge'!E$26:F$126,MATCH(C750,'Step 4 Stage Discharge'!E$26:E$126,1),1))/(INDEX('Step 4 Stage Discharge'!E$26:F$126,MATCH(C750,'Step 4 Stage Discharge'!E$26:E$126,1)+1,1)-INDEX('Step 4 Stage Discharge'!E$26:F$126,MATCH(C750,'Step 4 Stage Discharge'!E$26:E$126,1),1))</f>
        <v>0</v>
      </c>
      <c r="E750" s="219">
        <f>INDEX('Step 4 Stage Discharge'!E$26:M$126,MATCH(C750,'Step 4 Stage Discharge'!E$26:E$126,1),9)+(INDEX('Step 4 Stage Discharge'!E$26:M$126,MATCH('Step 6 Quality Check'!C750,'Step 4 Stage Discharge'!E$26:E$126,1)+1,9)-INDEX('Step 4 Stage Discharge'!E$26:M$126,MATCH('Step 6 Quality Check'!C750,'Step 4 Stage Discharge'!E$26:E$126,1),9))*('Step 6 Quality Check'!C750-INDEX('Step 4 Stage Discharge'!E$26:M$126,MATCH('Step 6 Quality Check'!C750,'Step 4 Stage Discharge'!E$26:E$126,1),1))/(INDEX('Step 4 Stage Discharge'!E$26:M$126,MATCH('Step 6 Quality Check'!C750,'Step 4 Stage Discharge'!E$26:E$126,1)+1,1)-INDEX('Step 4 Stage Discharge'!E$26:M$126,MATCH('Step 6 Quality Check'!C750,'Step 4 Stage Discharge'!E$26:E$126,1),1))</f>
        <v>4.3639431710317386E-3</v>
      </c>
      <c r="F750" s="218">
        <f t="shared" si="55"/>
        <v>0</v>
      </c>
      <c r="G750" s="218">
        <f t="shared" si="56"/>
        <v>0</v>
      </c>
    </row>
    <row r="751" spans="1:7">
      <c r="A751" s="217">
        <f t="shared" si="57"/>
        <v>3675</v>
      </c>
      <c r="B751" s="216">
        <f t="shared" si="58"/>
        <v>99.1</v>
      </c>
      <c r="C751" s="218">
        <f t="shared" si="59"/>
        <v>0</v>
      </c>
      <c r="D751" s="219">
        <f>INDEX('Step 4 Stage Discharge'!E$26:F$126,MATCH(C751,'Step 4 Stage Discharge'!E$26:E$126,1),2)+(INDEX('Step 4 Stage Discharge'!E$26:F$126,MATCH(C751,'Step 4 Stage Discharge'!E$26:E$126,1)+1,2)-INDEX('Step 4 Stage Discharge'!E$26:F$126,MATCH(C751,'Step 4 Stage Discharge'!E$26:E$126,1),2))*(C751-INDEX('Step 4 Stage Discharge'!E$26:F$126,MATCH(C751,'Step 4 Stage Discharge'!E$26:E$126,1),1))/(INDEX('Step 4 Stage Discharge'!E$26:F$126,MATCH(C751,'Step 4 Stage Discharge'!E$26:E$126,1)+1,1)-INDEX('Step 4 Stage Discharge'!E$26:F$126,MATCH(C751,'Step 4 Stage Discharge'!E$26:E$126,1),1))</f>
        <v>0</v>
      </c>
      <c r="E751" s="219">
        <f>INDEX('Step 4 Stage Discharge'!E$26:M$126,MATCH(C751,'Step 4 Stage Discharge'!E$26:E$126,1),9)+(INDEX('Step 4 Stage Discharge'!E$26:M$126,MATCH('Step 6 Quality Check'!C751,'Step 4 Stage Discharge'!E$26:E$126,1)+1,9)-INDEX('Step 4 Stage Discharge'!E$26:M$126,MATCH('Step 6 Quality Check'!C751,'Step 4 Stage Discharge'!E$26:E$126,1),9))*('Step 6 Quality Check'!C751-INDEX('Step 4 Stage Discharge'!E$26:M$126,MATCH('Step 6 Quality Check'!C751,'Step 4 Stage Discharge'!E$26:E$126,1),1))/(INDEX('Step 4 Stage Discharge'!E$26:M$126,MATCH('Step 6 Quality Check'!C751,'Step 4 Stage Discharge'!E$26:E$126,1)+1,1)-INDEX('Step 4 Stage Discharge'!E$26:M$126,MATCH('Step 6 Quality Check'!C751,'Step 4 Stage Discharge'!E$26:E$126,1),1))</f>
        <v>4.3639431710317386E-3</v>
      </c>
      <c r="F751" s="218">
        <f t="shared" si="55"/>
        <v>0</v>
      </c>
      <c r="G751" s="218">
        <f t="shared" si="56"/>
        <v>0</v>
      </c>
    </row>
    <row r="752" spans="1:7">
      <c r="A752" s="217">
        <f t="shared" si="57"/>
        <v>3680</v>
      </c>
      <c r="B752" s="216">
        <f t="shared" si="58"/>
        <v>99.1</v>
      </c>
      <c r="C752" s="218">
        <f t="shared" si="59"/>
        <v>0</v>
      </c>
      <c r="D752" s="219">
        <f>INDEX('Step 4 Stage Discharge'!E$26:F$126,MATCH(C752,'Step 4 Stage Discharge'!E$26:E$126,1),2)+(INDEX('Step 4 Stage Discharge'!E$26:F$126,MATCH(C752,'Step 4 Stage Discharge'!E$26:E$126,1)+1,2)-INDEX('Step 4 Stage Discharge'!E$26:F$126,MATCH(C752,'Step 4 Stage Discharge'!E$26:E$126,1),2))*(C752-INDEX('Step 4 Stage Discharge'!E$26:F$126,MATCH(C752,'Step 4 Stage Discharge'!E$26:E$126,1),1))/(INDEX('Step 4 Stage Discharge'!E$26:F$126,MATCH(C752,'Step 4 Stage Discharge'!E$26:E$126,1)+1,1)-INDEX('Step 4 Stage Discharge'!E$26:F$126,MATCH(C752,'Step 4 Stage Discharge'!E$26:E$126,1),1))</f>
        <v>0</v>
      </c>
      <c r="E752" s="219">
        <f>INDEX('Step 4 Stage Discharge'!E$26:M$126,MATCH(C752,'Step 4 Stage Discharge'!E$26:E$126,1),9)+(INDEX('Step 4 Stage Discharge'!E$26:M$126,MATCH('Step 6 Quality Check'!C752,'Step 4 Stage Discharge'!E$26:E$126,1)+1,9)-INDEX('Step 4 Stage Discharge'!E$26:M$126,MATCH('Step 6 Quality Check'!C752,'Step 4 Stage Discharge'!E$26:E$126,1),9))*('Step 6 Quality Check'!C752-INDEX('Step 4 Stage Discharge'!E$26:M$126,MATCH('Step 6 Quality Check'!C752,'Step 4 Stage Discharge'!E$26:E$126,1),1))/(INDEX('Step 4 Stage Discharge'!E$26:M$126,MATCH('Step 6 Quality Check'!C752,'Step 4 Stage Discharge'!E$26:E$126,1)+1,1)-INDEX('Step 4 Stage Discharge'!E$26:M$126,MATCH('Step 6 Quality Check'!C752,'Step 4 Stage Discharge'!E$26:E$126,1),1))</f>
        <v>4.3639431710317386E-3</v>
      </c>
      <c r="F752" s="218">
        <f t="shared" si="55"/>
        <v>0</v>
      </c>
      <c r="G752" s="218">
        <f t="shared" si="56"/>
        <v>0</v>
      </c>
    </row>
    <row r="753" spans="1:7">
      <c r="A753" s="217">
        <f t="shared" si="57"/>
        <v>3685</v>
      </c>
      <c r="B753" s="216">
        <f t="shared" si="58"/>
        <v>99.1</v>
      </c>
      <c r="C753" s="218">
        <f t="shared" si="59"/>
        <v>0</v>
      </c>
      <c r="D753" s="219">
        <f>INDEX('Step 4 Stage Discharge'!E$26:F$126,MATCH(C753,'Step 4 Stage Discharge'!E$26:E$126,1),2)+(INDEX('Step 4 Stage Discharge'!E$26:F$126,MATCH(C753,'Step 4 Stage Discharge'!E$26:E$126,1)+1,2)-INDEX('Step 4 Stage Discharge'!E$26:F$126,MATCH(C753,'Step 4 Stage Discharge'!E$26:E$126,1),2))*(C753-INDEX('Step 4 Stage Discharge'!E$26:F$126,MATCH(C753,'Step 4 Stage Discharge'!E$26:E$126,1),1))/(INDEX('Step 4 Stage Discharge'!E$26:F$126,MATCH(C753,'Step 4 Stage Discharge'!E$26:E$126,1)+1,1)-INDEX('Step 4 Stage Discharge'!E$26:F$126,MATCH(C753,'Step 4 Stage Discharge'!E$26:E$126,1),1))</f>
        <v>0</v>
      </c>
      <c r="E753" s="219">
        <f>INDEX('Step 4 Stage Discharge'!E$26:M$126,MATCH(C753,'Step 4 Stage Discharge'!E$26:E$126,1),9)+(INDEX('Step 4 Stage Discharge'!E$26:M$126,MATCH('Step 6 Quality Check'!C753,'Step 4 Stage Discharge'!E$26:E$126,1)+1,9)-INDEX('Step 4 Stage Discharge'!E$26:M$126,MATCH('Step 6 Quality Check'!C753,'Step 4 Stage Discharge'!E$26:E$126,1),9))*('Step 6 Quality Check'!C753-INDEX('Step 4 Stage Discharge'!E$26:M$126,MATCH('Step 6 Quality Check'!C753,'Step 4 Stage Discharge'!E$26:E$126,1),1))/(INDEX('Step 4 Stage Discharge'!E$26:M$126,MATCH('Step 6 Quality Check'!C753,'Step 4 Stage Discharge'!E$26:E$126,1)+1,1)-INDEX('Step 4 Stage Discharge'!E$26:M$126,MATCH('Step 6 Quality Check'!C753,'Step 4 Stage Discharge'!E$26:E$126,1),1))</f>
        <v>4.3639431710317386E-3</v>
      </c>
      <c r="F753" s="218">
        <f t="shared" si="55"/>
        <v>0</v>
      </c>
      <c r="G753" s="218">
        <f t="shared" si="56"/>
        <v>0</v>
      </c>
    </row>
    <row r="754" spans="1:7">
      <c r="A754" s="217">
        <f t="shared" si="57"/>
        <v>3690</v>
      </c>
      <c r="B754" s="216">
        <f t="shared" si="58"/>
        <v>99.1</v>
      </c>
      <c r="C754" s="218">
        <f t="shared" si="59"/>
        <v>0</v>
      </c>
      <c r="D754" s="219">
        <f>INDEX('Step 4 Stage Discharge'!E$26:F$126,MATCH(C754,'Step 4 Stage Discharge'!E$26:E$126,1),2)+(INDEX('Step 4 Stage Discharge'!E$26:F$126,MATCH(C754,'Step 4 Stage Discharge'!E$26:E$126,1)+1,2)-INDEX('Step 4 Stage Discharge'!E$26:F$126,MATCH(C754,'Step 4 Stage Discharge'!E$26:E$126,1),2))*(C754-INDEX('Step 4 Stage Discharge'!E$26:F$126,MATCH(C754,'Step 4 Stage Discharge'!E$26:E$126,1),1))/(INDEX('Step 4 Stage Discharge'!E$26:F$126,MATCH(C754,'Step 4 Stage Discharge'!E$26:E$126,1)+1,1)-INDEX('Step 4 Stage Discharge'!E$26:F$126,MATCH(C754,'Step 4 Stage Discharge'!E$26:E$126,1),1))</f>
        <v>0</v>
      </c>
      <c r="E754" s="219">
        <f>INDEX('Step 4 Stage Discharge'!E$26:M$126,MATCH(C754,'Step 4 Stage Discharge'!E$26:E$126,1),9)+(INDEX('Step 4 Stage Discharge'!E$26:M$126,MATCH('Step 6 Quality Check'!C754,'Step 4 Stage Discharge'!E$26:E$126,1)+1,9)-INDEX('Step 4 Stage Discharge'!E$26:M$126,MATCH('Step 6 Quality Check'!C754,'Step 4 Stage Discharge'!E$26:E$126,1),9))*('Step 6 Quality Check'!C754-INDEX('Step 4 Stage Discharge'!E$26:M$126,MATCH('Step 6 Quality Check'!C754,'Step 4 Stage Discharge'!E$26:E$126,1),1))/(INDEX('Step 4 Stage Discharge'!E$26:M$126,MATCH('Step 6 Quality Check'!C754,'Step 4 Stage Discharge'!E$26:E$126,1)+1,1)-INDEX('Step 4 Stage Discharge'!E$26:M$126,MATCH('Step 6 Quality Check'!C754,'Step 4 Stage Discharge'!E$26:E$126,1),1))</f>
        <v>4.3639431710317386E-3</v>
      </c>
      <c r="F754" s="218">
        <f t="shared" si="55"/>
        <v>0</v>
      </c>
      <c r="G754" s="218">
        <f t="shared" si="56"/>
        <v>0</v>
      </c>
    </row>
    <row r="755" spans="1:7">
      <c r="A755" s="217">
        <f t="shared" si="57"/>
        <v>3695</v>
      </c>
      <c r="B755" s="216">
        <f t="shared" si="58"/>
        <v>99.1</v>
      </c>
      <c r="C755" s="218">
        <f t="shared" si="59"/>
        <v>0</v>
      </c>
      <c r="D755" s="219">
        <f>INDEX('Step 4 Stage Discharge'!E$26:F$126,MATCH(C755,'Step 4 Stage Discharge'!E$26:E$126,1),2)+(INDEX('Step 4 Stage Discharge'!E$26:F$126,MATCH(C755,'Step 4 Stage Discharge'!E$26:E$126,1)+1,2)-INDEX('Step 4 Stage Discharge'!E$26:F$126,MATCH(C755,'Step 4 Stage Discharge'!E$26:E$126,1),2))*(C755-INDEX('Step 4 Stage Discharge'!E$26:F$126,MATCH(C755,'Step 4 Stage Discharge'!E$26:E$126,1),1))/(INDEX('Step 4 Stage Discharge'!E$26:F$126,MATCH(C755,'Step 4 Stage Discharge'!E$26:E$126,1)+1,1)-INDEX('Step 4 Stage Discharge'!E$26:F$126,MATCH(C755,'Step 4 Stage Discharge'!E$26:E$126,1),1))</f>
        <v>0</v>
      </c>
      <c r="E755" s="219">
        <f>INDEX('Step 4 Stage Discharge'!E$26:M$126,MATCH(C755,'Step 4 Stage Discharge'!E$26:E$126,1),9)+(INDEX('Step 4 Stage Discharge'!E$26:M$126,MATCH('Step 6 Quality Check'!C755,'Step 4 Stage Discharge'!E$26:E$126,1)+1,9)-INDEX('Step 4 Stage Discharge'!E$26:M$126,MATCH('Step 6 Quality Check'!C755,'Step 4 Stage Discharge'!E$26:E$126,1),9))*('Step 6 Quality Check'!C755-INDEX('Step 4 Stage Discharge'!E$26:M$126,MATCH('Step 6 Quality Check'!C755,'Step 4 Stage Discharge'!E$26:E$126,1),1))/(INDEX('Step 4 Stage Discharge'!E$26:M$126,MATCH('Step 6 Quality Check'!C755,'Step 4 Stage Discharge'!E$26:E$126,1)+1,1)-INDEX('Step 4 Stage Discharge'!E$26:M$126,MATCH('Step 6 Quality Check'!C755,'Step 4 Stage Discharge'!E$26:E$126,1),1))</f>
        <v>4.3639431710317386E-3</v>
      </c>
      <c r="F755" s="218">
        <f t="shared" si="55"/>
        <v>0</v>
      </c>
      <c r="G755" s="218">
        <f t="shared" si="56"/>
        <v>0</v>
      </c>
    </row>
    <row r="756" spans="1:7">
      <c r="A756" s="217">
        <f t="shared" si="57"/>
        <v>3700</v>
      </c>
      <c r="B756" s="216">
        <f t="shared" si="58"/>
        <v>99.1</v>
      </c>
      <c r="C756" s="218">
        <f t="shared" si="59"/>
        <v>0</v>
      </c>
      <c r="D756" s="219">
        <f>INDEX('Step 4 Stage Discharge'!E$26:F$126,MATCH(C756,'Step 4 Stage Discharge'!E$26:E$126,1),2)+(INDEX('Step 4 Stage Discharge'!E$26:F$126,MATCH(C756,'Step 4 Stage Discharge'!E$26:E$126,1)+1,2)-INDEX('Step 4 Stage Discharge'!E$26:F$126,MATCH(C756,'Step 4 Stage Discharge'!E$26:E$126,1),2))*(C756-INDEX('Step 4 Stage Discharge'!E$26:F$126,MATCH(C756,'Step 4 Stage Discharge'!E$26:E$126,1),1))/(INDEX('Step 4 Stage Discharge'!E$26:F$126,MATCH(C756,'Step 4 Stage Discharge'!E$26:E$126,1)+1,1)-INDEX('Step 4 Stage Discharge'!E$26:F$126,MATCH(C756,'Step 4 Stage Discharge'!E$26:E$126,1),1))</f>
        <v>0</v>
      </c>
      <c r="E756" s="219">
        <f>INDEX('Step 4 Stage Discharge'!E$26:M$126,MATCH(C756,'Step 4 Stage Discharge'!E$26:E$126,1),9)+(INDEX('Step 4 Stage Discharge'!E$26:M$126,MATCH('Step 6 Quality Check'!C756,'Step 4 Stage Discharge'!E$26:E$126,1)+1,9)-INDEX('Step 4 Stage Discharge'!E$26:M$126,MATCH('Step 6 Quality Check'!C756,'Step 4 Stage Discharge'!E$26:E$126,1),9))*('Step 6 Quality Check'!C756-INDEX('Step 4 Stage Discharge'!E$26:M$126,MATCH('Step 6 Quality Check'!C756,'Step 4 Stage Discharge'!E$26:E$126,1),1))/(INDEX('Step 4 Stage Discharge'!E$26:M$126,MATCH('Step 6 Quality Check'!C756,'Step 4 Stage Discharge'!E$26:E$126,1)+1,1)-INDEX('Step 4 Stage Discharge'!E$26:M$126,MATCH('Step 6 Quality Check'!C756,'Step 4 Stage Discharge'!E$26:E$126,1),1))</f>
        <v>4.3639431710317386E-3</v>
      </c>
      <c r="F756" s="218">
        <f t="shared" si="55"/>
        <v>0</v>
      </c>
      <c r="G756" s="218">
        <f t="shared" si="56"/>
        <v>0</v>
      </c>
    </row>
    <row r="757" spans="1:7">
      <c r="A757" s="217">
        <f t="shared" si="57"/>
        <v>3705</v>
      </c>
      <c r="B757" s="216">
        <f t="shared" si="58"/>
        <v>99.1</v>
      </c>
      <c r="C757" s="218">
        <f t="shared" si="59"/>
        <v>0</v>
      </c>
      <c r="D757" s="219">
        <f>INDEX('Step 4 Stage Discharge'!E$26:F$126,MATCH(C757,'Step 4 Stage Discharge'!E$26:E$126,1),2)+(INDEX('Step 4 Stage Discharge'!E$26:F$126,MATCH(C757,'Step 4 Stage Discharge'!E$26:E$126,1)+1,2)-INDEX('Step 4 Stage Discharge'!E$26:F$126,MATCH(C757,'Step 4 Stage Discharge'!E$26:E$126,1),2))*(C757-INDEX('Step 4 Stage Discharge'!E$26:F$126,MATCH(C757,'Step 4 Stage Discharge'!E$26:E$126,1),1))/(INDEX('Step 4 Stage Discharge'!E$26:F$126,MATCH(C757,'Step 4 Stage Discharge'!E$26:E$126,1)+1,1)-INDEX('Step 4 Stage Discharge'!E$26:F$126,MATCH(C757,'Step 4 Stage Discharge'!E$26:E$126,1),1))</f>
        <v>0</v>
      </c>
      <c r="E757" s="219">
        <f>INDEX('Step 4 Stage Discharge'!E$26:M$126,MATCH(C757,'Step 4 Stage Discharge'!E$26:E$126,1),9)+(INDEX('Step 4 Stage Discharge'!E$26:M$126,MATCH('Step 6 Quality Check'!C757,'Step 4 Stage Discharge'!E$26:E$126,1)+1,9)-INDEX('Step 4 Stage Discharge'!E$26:M$126,MATCH('Step 6 Quality Check'!C757,'Step 4 Stage Discharge'!E$26:E$126,1),9))*('Step 6 Quality Check'!C757-INDEX('Step 4 Stage Discharge'!E$26:M$126,MATCH('Step 6 Quality Check'!C757,'Step 4 Stage Discharge'!E$26:E$126,1),1))/(INDEX('Step 4 Stage Discharge'!E$26:M$126,MATCH('Step 6 Quality Check'!C757,'Step 4 Stage Discharge'!E$26:E$126,1)+1,1)-INDEX('Step 4 Stage Discharge'!E$26:M$126,MATCH('Step 6 Quality Check'!C757,'Step 4 Stage Discharge'!E$26:E$126,1),1))</f>
        <v>4.3639431710317386E-3</v>
      </c>
      <c r="F757" s="218">
        <f t="shared" si="55"/>
        <v>0</v>
      </c>
      <c r="G757" s="218">
        <f t="shared" si="56"/>
        <v>0</v>
      </c>
    </row>
    <row r="758" spans="1:7">
      <c r="A758" s="217">
        <f t="shared" si="57"/>
        <v>3710</v>
      </c>
      <c r="B758" s="216">
        <f t="shared" si="58"/>
        <v>99.1</v>
      </c>
      <c r="C758" s="218">
        <f t="shared" si="59"/>
        <v>0</v>
      </c>
      <c r="D758" s="219">
        <f>INDEX('Step 4 Stage Discharge'!E$26:F$126,MATCH(C758,'Step 4 Stage Discharge'!E$26:E$126,1),2)+(INDEX('Step 4 Stage Discharge'!E$26:F$126,MATCH(C758,'Step 4 Stage Discharge'!E$26:E$126,1)+1,2)-INDEX('Step 4 Stage Discharge'!E$26:F$126,MATCH(C758,'Step 4 Stage Discharge'!E$26:E$126,1),2))*(C758-INDEX('Step 4 Stage Discharge'!E$26:F$126,MATCH(C758,'Step 4 Stage Discharge'!E$26:E$126,1),1))/(INDEX('Step 4 Stage Discharge'!E$26:F$126,MATCH(C758,'Step 4 Stage Discharge'!E$26:E$126,1)+1,1)-INDEX('Step 4 Stage Discharge'!E$26:F$126,MATCH(C758,'Step 4 Stage Discharge'!E$26:E$126,1),1))</f>
        <v>0</v>
      </c>
      <c r="E758" s="219">
        <f>INDEX('Step 4 Stage Discharge'!E$26:M$126,MATCH(C758,'Step 4 Stage Discharge'!E$26:E$126,1),9)+(INDEX('Step 4 Stage Discharge'!E$26:M$126,MATCH('Step 6 Quality Check'!C758,'Step 4 Stage Discharge'!E$26:E$126,1)+1,9)-INDEX('Step 4 Stage Discharge'!E$26:M$126,MATCH('Step 6 Quality Check'!C758,'Step 4 Stage Discharge'!E$26:E$126,1),9))*('Step 6 Quality Check'!C758-INDEX('Step 4 Stage Discharge'!E$26:M$126,MATCH('Step 6 Quality Check'!C758,'Step 4 Stage Discharge'!E$26:E$126,1),1))/(INDEX('Step 4 Stage Discharge'!E$26:M$126,MATCH('Step 6 Quality Check'!C758,'Step 4 Stage Discharge'!E$26:E$126,1)+1,1)-INDEX('Step 4 Stage Discharge'!E$26:M$126,MATCH('Step 6 Quality Check'!C758,'Step 4 Stage Discharge'!E$26:E$126,1),1))</f>
        <v>4.3639431710317386E-3</v>
      </c>
      <c r="F758" s="218">
        <f t="shared" si="55"/>
        <v>0</v>
      </c>
      <c r="G758" s="218">
        <f t="shared" si="56"/>
        <v>0</v>
      </c>
    </row>
    <row r="759" spans="1:7">
      <c r="A759" s="217">
        <f t="shared" si="57"/>
        <v>3715</v>
      </c>
      <c r="B759" s="216">
        <f t="shared" si="58"/>
        <v>99.1</v>
      </c>
      <c r="C759" s="218">
        <f t="shared" si="59"/>
        <v>0</v>
      </c>
      <c r="D759" s="219">
        <f>INDEX('Step 4 Stage Discharge'!E$26:F$126,MATCH(C759,'Step 4 Stage Discharge'!E$26:E$126,1),2)+(INDEX('Step 4 Stage Discharge'!E$26:F$126,MATCH(C759,'Step 4 Stage Discharge'!E$26:E$126,1)+1,2)-INDEX('Step 4 Stage Discharge'!E$26:F$126,MATCH(C759,'Step 4 Stage Discharge'!E$26:E$126,1),2))*(C759-INDEX('Step 4 Stage Discharge'!E$26:F$126,MATCH(C759,'Step 4 Stage Discharge'!E$26:E$126,1),1))/(INDEX('Step 4 Stage Discharge'!E$26:F$126,MATCH(C759,'Step 4 Stage Discharge'!E$26:E$126,1)+1,1)-INDEX('Step 4 Stage Discharge'!E$26:F$126,MATCH(C759,'Step 4 Stage Discharge'!E$26:E$126,1),1))</f>
        <v>0</v>
      </c>
      <c r="E759" s="219">
        <f>INDEX('Step 4 Stage Discharge'!E$26:M$126,MATCH(C759,'Step 4 Stage Discharge'!E$26:E$126,1),9)+(INDEX('Step 4 Stage Discharge'!E$26:M$126,MATCH('Step 6 Quality Check'!C759,'Step 4 Stage Discharge'!E$26:E$126,1)+1,9)-INDEX('Step 4 Stage Discharge'!E$26:M$126,MATCH('Step 6 Quality Check'!C759,'Step 4 Stage Discharge'!E$26:E$126,1),9))*('Step 6 Quality Check'!C759-INDEX('Step 4 Stage Discharge'!E$26:M$126,MATCH('Step 6 Quality Check'!C759,'Step 4 Stage Discharge'!E$26:E$126,1),1))/(INDEX('Step 4 Stage Discharge'!E$26:M$126,MATCH('Step 6 Quality Check'!C759,'Step 4 Stage Discharge'!E$26:E$126,1)+1,1)-INDEX('Step 4 Stage Discharge'!E$26:M$126,MATCH('Step 6 Quality Check'!C759,'Step 4 Stage Discharge'!E$26:E$126,1),1))</f>
        <v>4.3639431710317386E-3</v>
      </c>
      <c r="F759" s="218">
        <f t="shared" si="55"/>
        <v>0</v>
      </c>
      <c r="G759" s="218">
        <f t="shared" si="56"/>
        <v>0</v>
      </c>
    </row>
    <row r="760" spans="1:7">
      <c r="A760" s="217">
        <f t="shared" si="57"/>
        <v>3720</v>
      </c>
      <c r="B760" s="216">
        <f t="shared" si="58"/>
        <v>99.1</v>
      </c>
      <c r="C760" s="218">
        <f t="shared" si="59"/>
        <v>0</v>
      </c>
      <c r="D760" s="219">
        <f>INDEX('Step 4 Stage Discharge'!E$26:F$126,MATCH(C760,'Step 4 Stage Discharge'!E$26:E$126,1),2)+(INDEX('Step 4 Stage Discharge'!E$26:F$126,MATCH(C760,'Step 4 Stage Discharge'!E$26:E$126,1)+1,2)-INDEX('Step 4 Stage Discharge'!E$26:F$126,MATCH(C760,'Step 4 Stage Discharge'!E$26:E$126,1),2))*(C760-INDEX('Step 4 Stage Discharge'!E$26:F$126,MATCH(C760,'Step 4 Stage Discharge'!E$26:E$126,1),1))/(INDEX('Step 4 Stage Discharge'!E$26:F$126,MATCH(C760,'Step 4 Stage Discharge'!E$26:E$126,1)+1,1)-INDEX('Step 4 Stage Discharge'!E$26:F$126,MATCH(C760,'Step 4 Stage Discharge'!E$26:E$126,1),1))</f>
        <v>0</v>
      </c>
      <c r="E760" s="219">
        <f>INDEX('Step 4 Stage Discharge'!E$26:M$126,MATCH(C760,'Step 4 Stage Discharge'!E$26:E$126,1),9)+(INDEX('Step 4 Stage Discharge'!E$26:M$126,MATCH('Step 6 Quality Check'!C760,'Step 4 Stage Discharge'!E$26:E$126,1)+1,9)-INDEX('Step 4 Stage Discharge'!E$26:M$126,MATCH('Step 6 Quality Check'!C760,'Step 4 Stage Discharge'!E$26:E$126,1),9))*('Step 6 Quality Check'!C760-INDEX('Step 4 Stage Discharge'!E$26:M$126,MATCH('Step 6 Quality Check'!C760,'Step 4 Stage Discharge'!E$26:E$126,1),1))/(INDEX('Step 4 Stage Discharge'!E$26:M$126,MATCH('Step 6 Quality Check'!C760,'Step 4 Stage Discharge'!E$26:E$126,1)+1,1)-INDEX('Step 4 Stage Discharge'!E$26:M$126,MATCH('Step 6 Quality Check'!C760,'Step 4 Stage Discharge'!E$26:E$126,1),1))</f>
        <v>4.3639431710317386E-3</v>
      </c>
      <c r="F760" s="218">
        <f t="shared" si="55"/>
        <v>0</v>
      </c>
      <c r="G760" s="218">
        <f t="shared" si="56"/>
        <v>0</v>
      </c>
    </row>
    <row r="761" spans="1:7">
      <c r="A761" s="217">
        <f t="shared" si="57"/>
        <v>3725</v>
      </c>
      <c r="B761" s="216">
        <f t="shared" si="58"/>
        <v>99.1</v>
      </c>
      <c r="C761" s="218">
        <f t="shared" si="59"/>
        <v>0</v>
      </c>
      <c r="D761" s="219">
        <f>INDEX('Step 4 Stage Discharge'!E$26:F$126,MATCH(C761,'Step 4 Stage Discharge'!E$26:E$126,1),2)+(INDEX('Step 4 Stage Discharge'!E$26:F$126,MATCH(C761,'Step 4 Stage Discharge'!E$26:E$126,1)+1,2)-INDEX('Step 4 Stage Discharge'!E$26:F$126,MATCH(C761,'Step 4 Stage Discharge'!E$26:E$126,1),2))*(C761-INDEX('Step 4 Stage Discharge'!E$26:F$126,MATCH(C761,'Step 4 Stage Discharge'!E$26:E$126,1),1))/(INDEX('Step 4 Stage Discharge'!E$26:F$126,MATCH(C761,'Step 4 Stage Discharge'!E$26:E$126,1)+1,1)-INDEX('Step 4 Stage Discharge'!E$26:F$126,MATCH(C761,'Step 4 Stage Discharge'!E$26:E$126,1),1))</f>
        <v>0</v>
      </c>
      <c r="E761" s="219">
        <f>INDEX('Step 4 Stage Discharge'!E$26:M$126,MATCH(C761,'Step 4 Stage Discharge'!E$26:E$126,1),9)+(INDEX('Step 4 Stage Discharge'!E$26:M$126,MATCH('Step 6 Quality Check'!C761,'Step 4 Stage Discharge'!E$26:E$126,1)+1,9)-INDEX('Step 4 Stage Discharge'!E$26:M$126,MATCH('Step 6 Quality Check'!C761,'Step 4 Stage Discharge'!E$26:E$126,1),9))*('Step 6 Quality Check'!C761-INDEX('Step 4 Stage Discharge'!E$26:M$126,MATCH('Step 6 Quality Check'!C761,'Step 4 Stage Discharge'!E$26:E$126,1),1))/(INDEX('Step 4 Stage Discharge'!E$26:M$126,MATCH('Step 6 Quality Check'!C761,'Step 4 Stage Discharge'!E$26:E$126,1)+1,1)-INDEX('Step 4 Stage Discharge'!E$26:M$126,MATCH('Step 6 Quality Check'!C761,'Step 4 Stage Discharge'!E$26:E$126,1),1))</f>
        <v>4.3639431710317386E-3</v>
      </c>
      <c r="F761" s="218">
        <f t="shared" si="55"/>
        <v>0</v>
      </c>
      <c r="G761" s="218">
        <f t="shared" si="56"/>
        <v>0</v>
      </c>
    </row>
    <row r="762" spans="1:7">
      <c r="A762" s="217">
        <f t="shared" si="57"/>
        <v>3730</v>
      </c>
      <c r="B762" s="216">
        <f t="shared" si="58"/>
        <v>99.1</v>
      </c>
      <c r="C762" s="218">
        <f t="shared" si="59"/>
        <v>0</v>
      </c>
      <c r="D762" s="219">
        <f>INDEX('Step 4 Stage Discharge'!E$26:F$126,MATCH(C762,'Step 4 Stage Discharge'!E$26:E$126,1),2)+(INDEX('Step 4 Stage Discharge'!E$26:F$126,MATCH(C762,'Step 4 Stage Discharge'!E$26:E$126,1)+1,2)-INDEX('Step 4 Stage Discharge'!E$26:F$126,MATCH(C762,'Step 4 Stage Discharge'!E$26:E$126,1),2))*(C762-INDEX('Step 4 Stage Discharge'!E$26:F$126,MATCH(C762,'Step 4 Stage Discharge'!E$26:E$126,1),1))/(INDEX('Step 4 Stage Discharge'!E$26:F$126,MATCH(C762,'Step 4 Stage Discharge'!E$26:E$126,1)+1,1)-INDEX('Step 4 Stage Discharge'!E$26:F$126,MATCH(C762,'Step 4 Stage Discharge'!E$26:E$126,1),1))</f>
        <v>0</v>
      </c>
      <c r="E762" s="219">
        <f>INDEX('Step 4 Stage Discharge'!E$26:M$126,MATCH(C762,'Step 4 Stage Discharge'!E$26:E$126,1),9)+(INDEX('Step 4 Stage Discharge'!E$26:M$126,MATCH('Step 6 Quality Check'!C762,'Step 4 Stage Discharge'!E$26:E$126,1)+1,9)-INDEX('Step 4 Stage Discharge'!E$26:M$126,MATCH('Step 6 Quality Check'!C762,'Step 4 Stage Discharge'!E$26:E$126,1),9))*('Step 6 Quality Check'!C762-INDEX('Step 4 Stage Discharge'!E$26:M$126,MATCH('Step 6 Quality Check'!C762,'Step 4 Stage Discharge'!E$26:E$126,1),1))/(INDEX('Step 4 Stage Discharge'!E$26:M$126,MATCH('Step 6 Quality Check'!C762,'Step 4 Stage Discharge'!E$26:E$126,1)+1,1)-INDEX('Step 4 Stage Discharge'!E$26:M$126,MATCH('Step 6 Quality Check'!C762,'Step 4 Stage Discharge'!E$26:E$126,1),1))</f>
        <v>4.3639431710317386E-3</v>
      </c>
      <c r="F762" s="218">
        <f t="shared" si="55"/>
        <v>0</v>
      </c>
      <c r="G762" s="218">
        <f t="shared" si="56"/>
        <v>0</v>
      </c>
    </row>
    <row r="763" spans="1:7">
      <c r="A763" s="217">
        <f t="shared" si="57"/>
        <v>3735</v>
      </c>
      <c r="B763" s="216">
        <f t="shared" si="58"/>
        <v>99.1</v>
      </c>
      <c r="C763" s="218">
        <f t="shared" si="59"/>
        <v>0</v>
      </c>
      <c r="D763" s="219">
        <f>INDEX('Step 4 Stage Discharge'!E$26:F$126,MATCH(C763,'Step 4 Stage Discharge'!E$26:E$126,1),2)+(INDEX('Step 4 Stage Discharge'!E$26:F$126,MATCH(C763,'Step 4 Stage Discharge'!E$26:E$126,1)+1,2)-INDEX('Step 4 Stage Discharge'!E$26:F$126,MATCH(C763,'Step 4 Stage Discharge'!E$26:E$126,1),2))*(C763-INDEX('Step 4 Stage Discharge'!E$26:F$126,MATCH(C763,'Step 4 Stage Discharge'!E$26:E$126,1),1))/(INDEX('Step 4 Stage Discharge'!E$26:F$126,MATCH(C763,'Step 4 Stage Discharge'!E$26:E$126,1)+1,1)-INDEX('Step 4 Stage Discharge'!E$26:F$126,MATCH(C763,'Step 4 Stage Discharge'!E$26:E$126,1),1))</f>
        <v>0</v>
      </c>
      <c r="E763" s="219">
        <f>INDEX('Step 4 Stage Discharge'!E$26:M$126,MATCH(C763,'Step 4 Stage Discharge'!E$26:E$126,1),9)+(INDEX('Step 4 Stage Discharge'!E$26:M$126,MATCH('Step 6 Quality Check'!C763,'Step 4 Stage Discharge'!E$26:E$126,1)+1,9)-INDEX('Step 4 Stage Discharge'!E$26:M$126,MATCH('Step 6 Quality Check'!C763,'Step 4 Stage Discharge'!E$26:E$126,1),9))*('Step 6 Quality Check'!C763-INDEX('Step 4 Stage Discharge'!E$26:M$126,MATCH('Step 6 Quality Check'!C763,'Step 4 Stage Discharge'!E$26:E$126,1),1))/(INDEX('Step 4 Stage Discharge'!E$26:M$126,MATCH('Step 6 Quality Check'!C763,'Step 4 Stage Discharge'!E$26:E$126,1)+1,1)-INDEX('Step 4 Stage Discharge'!E$26:M$126,MATCH('Step 6 Quality Check'!C763,'Step 4 Stage Discharge'!E$26:E$126,1),1))</f>
        <v>4.3639431710317386E-3</v>
      </c>
      <c r="F763" s="218">
        <f t="shared" si="55"/>
        <v>0</v>
      </c>
      <c r="G763" s="218">
        <f t="shared" si="56"/>
        <v>0</v>
      </c>
    </row>
    <row r="764" spans="1:7">
      <c r="A764" s="217">
        <f t="shared" si="57"/>
        <v>3740</v>
      </c>
      <c r="B764" s="216">
        <f t="shared" si="58"/>
        <v>99.1</v>
      </c>
      <c r="C764" s="218">
        <f t="shared" si="59"/>
        <v>0</v>
      </c>
      <c r="D764" s="219">
        <f>INDEX('Step 4 Stage Discharge'!E$26:F$126,MATCH(C764,'Step 4 Stage Discharge'!E$26:E$126,1),2)+(INDEX('Step 4 Stage Discharge'!E$26:F$126,MATCH(C764,'Step 4 Stage Discharge'!E$26:E$126,1)+1,2)-INDEX('Step 4 Stage Discharge'!E$26:F$126,MATCH(C764,'Step 4 Stage Discharge'!E$26:E$126,1),2))*(C764-INDEX('Step 4 Stage Discharge'!E$26:F$126,MATCH(C764,'Step 4 Stage Discharge'!E$26:E$126,1),1))/(INDEX('Step 4 Stage Discharge'!E$26:F$126,MATCH(C764,'Step 4 Stage Discharge'!E$26:E$126,1)+1,1)-INDEX('Step 4 Stage Discharge'!E$26:F$126,MATCH(C764,'Step 4 Stage Discharge'!E$26:E$126,1),1))</f>
        <v>0</v>
      </c>
      <c r="E764" s="219">
        <f>INDEX('Step 4 Stage Discharge'!E$26:M$126,MATCH(C764,'Step 4 Stage Discharge'!E$26:E$126,1),9)+(INDEX('Step 4 Stage Discharge'!E$26:M$126,MATCH('Step 6 Quality Check'!C764,'Step 4 Stage Discharge'!E$26:E$126,1)+1,9)-INDEX('Step 4 Stage Discharge'!E$26:M$126,MATCH('Step 6 Quality Check'!C764,'Step 4 Stage Discharge'!E$26:E$126,1),9))*('Step 6 Quality Check'!C764-INDEX('Step 4 Stage Discharge'!E$26:M$126,MATCH('Step 6 Quality Check'!C764,'Step 4 Stage Discharge'!E$26:E$126,1),1))/(INDEX('Step 4 Stage Discharge'!E$26:M$126,MATCH('Step 6 Quality Check'!C764,'Step 4 Stage Discharge'!E$26:E$126,1)+1,1)-INDEX('Step 4 Stage Discharge'!E$26:M$126,MATCH('Step 6 Quality Check'!C764,'Step 4 Stage Discharge'!E$26:E$126,1),1))</f>
        <v>4.3639431710317386E-3</v>
      </c>
      <c r="F764" s="218">
        <f t="shared" si="55"/>
        <v>0</v>
      </c>
      <c r="G764" s="218">
        <f t="shared" si="56"/>
        <v>0</v>
      </c>
    </row>
    <row r="765" spans="1:7">
      <c r="A765" s="217">
        <f t="shared" si="57"/>
        <v>3745</v>
      </c>
      <c r="B765" s="216">
        <f t="shared" si="58"/>
        <v>99.1</v>
      </c>
      <c r="C765" s="218">
        <f t="shared" si="59"/>
        <v>0</v>
      </c>
      <c r="D765" s="219">
        <f>INDEX('Step 4 Stage Discharge'!E$26:F$126,MATCH(C765,'Step 4 Stage Discharge'!E$26:E$126,1),2)+(INDEX('Step 4 Stage Discharge'!E$26:F$126,MATCH(C765,'Step 4 Stage Discharge'!E$26:E$126,1)+1,2)-INDEX('Step 4 Stage Discharge'!E$26:F$126,MATCH(C765,'Step 4 Stage Discharge'!E$26:E$126,1),2))*(C765-INDEX('Step 4 Stage Discharge'!E$26:F$126,MATCH(C765,'Step 4 Stage Discharge'!E$26:E$126,1),1))/(INDEX('Step 4 Stage Discharge'!E$26:F$126,MATCH(C765,'Step 4 Stage Discharge'!E$26:E$126,1)+1,1)-INDEX('Step 4 Stage Discharge'!E$26:F$126,MATCH(C765,'Step 4 Stage Discharge'!E$26:E$126,1),1))</f>
        <v>0</v>
      </c>
      <c r="E765" s="219">
        <f>INDEX('Step 4 Stage Discharge'!E$26:M$126,MATCH(C765,'Step 4 Stage Discharge'!E$26:E$126,1),9)+(INDEX('Step 4 Stage Discharge'!E$26:M$126,MATCH('Step 6 Quality Check'!C765,'Step 4 Stage Discharge'!E$26:E$126,1)+1,9)-INDEX('Step 4 Stage Discharge'!E$26:M$126,MATCH('Step 6 Quality Check'!C765,'Step 4 Stage Discharge'!E$26:E$126,1),9))*('Step 6 Quality Check'!C765-INDEX('Step 4 Stage Discharge'!E$26:M$126,MATCH('Step 6 Quality Check'!C765,'Step 4 Stage Discharge'!E$26:E$126,1),1))/(INDEX('Step 4 Stage Discharge'!E$26:M$126,MATCH('Step 6 Quality Check'!C765,'Step 4 Stage Discharge'!E$26:E$126,1)+1,1)-INDEX('Step 4 Stage Discharge'!E$26:M$126,MATCH('Step 6 Quality Check'!C765,'Step 4 Stage Discharge'!E$26:E$126,1),1))</f>
        <v>4.3639431710317386E-3</v>
      </c>
      <c r="F765" s="218">
        <f t="shared" si="55"/>
        <v>0</v>
      </c>
      <c r="G765" s="218">
        <f t="shared" si="56"/>
        <v>0</v>
      </c>
    </row>
    <row r="766" spans="1:7">
      <c r="A766" s="217">
        <f t="shared" si="57"/>
        <v>3750</v>
      </c>
      <c r="B766" s="216">
        <f t="shared" si="58"/>
        <v>99.1</v>
      </c>
      <c r="C766" s="218">
        <f t="shared" si="59"/>
        <v>0</v>
      </c>
      <c r="D766" s="219">
        <f>INDEX('Step 4 Stage Discharge'!E$26:F$126,MATCH(C766,'Step 4 Stage Discharge'!E$26:E$126,1),2)+(INDEX('Step 4 Stage Discharge'!E$26:F$126,MATCH(C766,'Step 4 Stage Discharge'!E$26:E$126,1)+1,2)-INDEX('Step 4 Stage Discharge'!E$26:F$126,MATCH(C766,'Step 4 Stage Discharge'!E$26:E$126,1),2))*(C766-INDEX('Step 4 Stage Discharge'!E$26:F$126,MATCH(C766,'Step 4 Stage Discharge'!E$26:E$126,1),1))/(INDEX('Step 4 Stage Discharge'!E$26:F$126,MATCH(C766,'Step 4 Stage Discharge'!E$26:E$126,1)+1,1)-INDEX('Step 4 Stage Discharge'!E$26:F$126,MATCH(C766,'Step 4 Stage Discharge'!E$26:E$126,1),1))</f>
        <v>0</v>
      </c>
      <c r="E766" s="219">
        <f>INDEX('Step 4 Stage Discharge'!E$26:M$126,MATCH(C766,'Step 4 Stage Discharge'!E$26:E$126,1),9)+(INDEX('Step 4 Stage Discharge'!E$26:M$126,MATCH('Step 6 Quality Check'!C766,'Step 4 Stage Discharge'!E$26:E$126,1)+1,9)-INDEX('Step 4 Stage Discharge'!E$26:M$126,MATCH('Step 6 Quality Check'!C766,'Step 4 Stage Discharge'!E$26:E$126,1),9))*('Step 6 Quality Check'!C766-INDEX('Step 4 Stage Discharge'!E$26:M$126,MATCH('Step 6 Quality Check'!C766,'Step 4 Stage Discharge'!E$26:E$126,1),1))/(INDEX('Step 4 Stage Discharge'!E$26:M$126,MATCH('Step 6 Quality Check'!C766,'Step 4 Stage Discharge'!E$26:E$126,1)+1,1)-INDEX('Step 4 Stage Discharge'!E$26:M$126,MATCH('Step 6 Quality Check'!C766,'Step 4 Stage Discharge'!E$26:E$126,1),1))</f>
        <v>4.3639431710317386E-3</v>
      </c>
      <c r="F766" s="218">
        <f t="shared" si="55"/>
        <v>0</v>
      </c>
      <c r="G766" s="218">
        <f t="shared" si="56"/>
        <v>0</v>
      </c>
    </row>
    <row r="767" spans="1:7">
      <c r="A767" s="217">
        <f t="shared" si="57"/>
        <v>3755</v>
      </c>
      <c r="B767" s="216">
        <f t="shared" si="58"/>
        <v>99.1</v>
      </c>
      <c r="C767" s="218">
        <f t="shared" si="59"/>
        <v>0</v>
      </c>
      <c r="D767" s="219">
        <f>INDEX('Step 4 Stage Discharge'!E$26:F$126,MATCH(C767,'Step 4 Stage Discharge'!E$26:E$126,1),2)+(INDEX('Step 4 Stage Discharge'!E$26:F$126,MATCH(C767,'Step 4 Stage Discharge'!E$26:E$126,1)+1,2)-INDEX('Step 4 Stage Discharge'!E$26:F$126,MATCH(C767,'Step 4 Stage Discharge'!E$26:E$126,1),2))*(C767-INDEX('Step 4 Stage Discharge'!E$26:F$126,MATCH(C767,'Step 4 Stage Discharge'!E$26:E$126,1),1))/(INDEX('Step 4 Stage Discharge'!E$26:F$126,MATCH(C767,'Step 4 Stage Discharge'!E$26:E$126,1)+1,1)-INDEX('Step 4 Stage Discharge'!E$26:F$126,MATCH(C767,'Step 4 Stage Discharge'!E$26:E$126,1),1))</f>
        <v>0</v>
      </c>
      <c r="E767" s="219">
        <f>INDEX('Step 4 Stage Discharge'!E$26:M$126,MATCH(C767,'Step 4 Stage Discharge'!E$26:E$126,1),9)+(INDEX('Step 4 Stage Discharge'!E$26:M$126,MATCH('Step 6 Quality Check'!C767,'Step 4 Stage Discharge'!E$26:E$126,1)+1,9)-INDEX('Step 4 Stage Discharge'!E$26:M$126,MATCH('Step 6 Quality Check'!C767,'Step 4 Stage Discharge'!E$26:E$126,1),9))*('Step 6 Quality Check'!C767-INDEX('Step 4 Stage Discharge'!E$26:M$126,MATCH('Step 6 Quality Check'!C767,'Step 4 Stage Discharge'!E$26:E$126,1),1))/(INDEX('Step 4 Stage Discharge'!E$26:M$126,MATCH('Step 6 Quality Check'!C767,'Step 4 Stage Discharge'!E$26:E$126,1)+1,1)-INDEX('Step 4 Stage Discharge'!E$26:M$126,MATCH('Step 6 Quality Check'!C767,'Step 4 Stage Discharge'!E$26:E$126,1),1))</f>
        <v>4.3639431710317386E-3</v>
      </c>
      <c r="F767" s="218">
        <f t="shared" si="55"/>
        <v>0</v>
      </c>
      <c r="G767" s="218">
        <f t="shared" si="56"/>
        <v>0</v>
      </c>
    </row>
    <row r="768" spans="1:7">
      <c r="A768" s="217">
        <f t="shared" si="57"/>
        <v>3760</v>
      </c>
      <c r="B768" s="216">
        <f t="shared" si="58"/>
        <v>99.1</v>
      </c>
      <c r="C768" s="218">
        <f t="shared" si="59"/>
        <v>0</v>
      </c>
      <c r="D768" s="219">
        <f>INDEX('Step 4 Stage Discharge'!E$26:F$126,MATCH(C768,'Step 4 Stage Discharge'!E$26:E$126,1),2)+(INDEX('Step 4 Stage Discharge'!E$26:F$126,MATCH(C768,'Step 4 Stage Discharge'!E$26:E$126,1)+1,2)-INDEX('Step 4 Stage Discharge'!E$26:F$126,MATCH(C768,'Step 4 Stage Discharge'!E$26:E$126,1),2))*(C768-INDEX('Step 4 Stage Discharge'!E$26:F$126,MATCH(C768,'Step 4 Stage Discharge'!E$26:E$126,1),1))/(INDEX('Step 4 Stage Discharge'!E$26:F$126,MATCH(C768,'Step 4 Stage Discharge'!E$26:E$126,1)+1,1)-INDEX('Step 4 Stage Discharge'!E$26:F$126,MATCH(C768,'Step 4 Stage Discharge'!E$26:E$126,1),1))</f>
        <v>0</v>
      </c>
      <c r="E768" s="219">
        <f>INDEX('Step 4 Stage Discharge'!E$26:M$126,MATCH(C768,'Step 4 Stage Discharge'!E$26:E$126,1),9)+(INDEX('Step 4 Stage Discharge'!E$26:M$126,MATCH('Step 6 Quality Check'!C768,'Step 4 Stage Discharge'!E$26:E$126,1)+1,9)-INDEX('Step 4 Stage Discharge'!E$26:M$126,MATCH('Step 6 Quality Check'!C768,'Step 4 Stage Discharge'!E$26:E$126,1),9))*('Step 6 Quality Check'!C768-INDEX('Step 4 Stage Discharge'!E$26:M$126,MATCH('Step 6 Quality Check'!C768,'Step 4 Stage Discharge'!E$26:E$126,1),1))/(INDEX('Step 4 Stage Discharge'!E$26:M$126,MATCH('Step 6 Quality Check'!C768,'Step 4 Stage Discharge'!E$26:E$126,1)+1,1)-INDEX('Step 4 Stage Discharge'!E$26:M$126,MATCH('Step 6 Quality Check'!C768,'Step 4 Stage Discharge'!E$26:E$126,1),1))</f>
        <v>4.3639431710317386E-3</v>
      </c>
      <c r="F768" s="218">
        <f t="shared" si="55"/>
        <v>0</v>
      </c>
      <c r="G768" s="218">
        <f t="shared" si="56"/>
        <v>0</v>
      </c>
    </row>
    <row r="769" spans="1:7">
      <c r="A769" s="217">
        <f t="shared" si="57"/>
        <v>3765</v>
      </c>
      <c r="B769" s="216">
        <f t="shared" si="58"/>
        <v>99.1</v>
      </c>
      <c r="C769" s="218">
        <f t="shared" si="59"/>
        <v>0</v>
      </c>
      <c r="D769" s="219">
        <f>INDEX('Step 4 Stage Discharge'!E$26:F$126,MATCH(C769,'Step 4 Stage Discharge'!E$26:E$126,1),2)+(INDEX('Step 4 Stage Discharge'!E$26:F$126,MATCH(C769,'Step 4 Stage Discharge'!E$26:E$126,1)+1,2)-INDEX('Step 4 Stage Discharge'!E$26:F$126,MATCH(C769,'Step 4 Stage Discharge'!E$26:E$126,1),2))*(C769-INDEX('Step 4 Stage Discharge'!E$26:F$126,MATCH(C769,'Step 4 Stage Discharge'!E$26:E$126,1),1))/(INDEX('Step 4 Stage Discharge'!E$26:F$126,MATCH(C769,'Step 4 Stage Discharge'!E$26:E$126,1)+1,1)-INDEX('Step 4 Stage Discharge'!E$26:F$126,MATCH(C769,'Step 4 Stage Discharge'!E$26:E$126,1),1))</f>
        <v>0</v>
      </c>
      <c r="E769" s="219">
        <f>INDEX('Step 4 Stage Discharge'!E$26:M$126,MATCH(C769,'Step 4 Stage Discharge'!E$26:E$126,1),9)+(INDEX('Step 4 Stage Discharge'!E$26:M$126,MATCH('Step 6 Quality Check'!C769,'Step 4 Stage Discharge'!E$26:E$126,1)+1,9)-INDEX('Step 4 Stage Discharge'!E$26:M$126,MATCH('Step 6 Quality Check'!C769,'Step 4 Stage Discharge'!E$26:E$126,1),9))*('Step 6 Quality Check'!C769-INDEX('Step 4 Stage Discharge'!E$26:M$126,MATCH('Step 6 Quality Check'!C769,'Step 4 Stage Discharge'!E$26:E$126,1),1))/(INDEX('Step 4 Stage Discharge'!E$26:M$126,MATCH('Step 6 Quality Check'!C769,'Step 4 Stage Discharge'!E$26:E$126,1)+1,1)-INDEX('Step 4 Stage Discharge'!E$26:M$126,MATCH('Step 6 Quality Check'!C769,'Step 4 Stage Discharge'!E$26:E$126,1),1))</f>
        <v>4.3639431710317386E-3</v>
      </c>
      <c r="F769" s="218">
        <f t="shared" si="55"/>
        <v>0</v>
      </c>
      <c r="G769" s="218">
        <f t="shared" si="56"/>
        <v>0</v>
      </c>
    </row>
    <row r="770" spans="1:7">
      <c r="A770" s="217">
        <f t="shared" si="57"/>
        <v>3770</v>
      </c>
      <c r="B770" s="216">
        <f t="shared" si="58"/>
        <v>99.1</v>
      </c>
      <c r="C770" s="218">
        <f t="shared" si="59"/>
        <v>0</v>
      </c>
      <c r="D770" s="219">
        <f>INDEX('Step 4 Stage Discharge'!E$26:F$126,MATCH(C770,'Step 4 Stage Discharge'!E$26:E$126,1),2)+(INDEX('Step 4 Stage Discharge'!E$26:F$126,MATCH(C770,'Step 4 Stage Discharge'!E$26:E$126,1)+1,2)-INDEX('Step 4 Stage Discharge'!E$26:F$126,MATCH(C770,'Step 4 Stage Discharge'!E$26:E$126,1),2))*(C770-INDEX('Step 4 Stage Discharge'!E$26:F$126,MATCH(C770,'Step 4 Stage Discharge'!E$26:E$126,1),1))/(INDEX('Step 4 Stage Discharge'!E$26:F$126,MATCH(C770,'Step 4 Stage Discharge'!E$26:E$126,1)+1,1)-INDEX('Step 4 Stage Discharge'!E$26:F$126,MATCH(C770,'Step 4 Stage Discharge'!E$26:E$126,1),1))</f>
        <v>0</v>
      </c>
      <c r="E770" s="219">
        <f>INDEX('Step 4 Stage Discharge'!E$26:M$126,MATCH(C770,'Step 4 Stage Discharge'!E$26:E$126,1),9)+(INDEX('Step 4 Stage Discharge'!E$26:M$126,MATCH('Step 6 Quality Check'!C770,'Step 4 Stage Discharge'!E$26:E$126,1)+1,9)-INDEX('Step 4 Stage Discharge'!E$26:M$126,MATCH('Step 6 Quality Check'!C770,'Step 4 Stage Discharge'!E$26:E$126,1),9))*('Step 6 Quality Check'!C770-INDEX('Step 4 Stage Discharge'!E$26:M$126,MATCH('Step 6 Quality Check'!C770,'Step 4 Stage Discharge'!E$26:E$126,1),1))/(INDEX('Step 4 Stage Discharge'!E$26:M$126,MATCH('Step 6 Quality Check'!C770,'Step 4 Stage Discharge'!E$26:E$126,1)+1,1)-INDEX('Step 4 Stage Discharge'!E$26:M$126,MATCH('Step 6 Quality Check'!C770,'Step 4 Stage Discharge'!E$26:E$126,1),1))</f>
        <v>4.3639431710317386E-3</v>
      </c>
      <c r="F770" s="218">
        <f t="shared" si="55"/>
        <v>0</v>
      </c>
      <c r="G770" s="218">
        <f t="shared" si="56"/>
        <v>0</v>
      </c>
    </row>
    <row r="771" spans="1:7">
      <c r="A771" s="217">
        <f t="shared" si="57"/>
        <v>3775</v>
      </c>
      <c r="B771" s="216">
        <f t="shared" si="58"/>
        <v>99.1</v>
      </c>
      <c r="C771" s="218">
        <f t="shared" si="59"/>
        <v>0</v>
      </c>
      <c r="D771" s="219">
        <f>INDEX('Step 4 Stage Discharge'!E$26:F$126,MATCH(C771,'Step 4 Stage Discharge'!E$26:E$126,1),2)+(INDEX('Step 4 Stage Discharge'!E$26:F$126,MATCH(C771,'Step 4 Stage Discharge'!E$26:E$126,1)+1,2)-INDEX('Step 4 Stage Discharge'!E$26:F$126,MATCH(C771,'Step 4 Stage Discharge'!E$26:E$126,1),2))*(C771-INDEX('Step 4 Stage Discharge'!E$26:F$126,MATCH(C771,'Step 4 Stage Discharge'!E$26:E$126,1),1))/(INDEX('Step 4 Stage Discharge'!E$26:F$126,MATCH(C771,'Step 4 Stage Discharge'!E$26:E$126,1)+1,1)-INDEX('Step 4 Stage Discharge'!E$26:F$126,MATCH(C771,'Step 4 Stage Discharge'!E$26:E$126,1),1))</f>
        <v>0</v>
      </c>
      <c r="E771" s="219">
        <f>INDEX('Step 4 Stage Discharge'!E$26:M$126,MATCH(C771,'Step 4 Stage Discharge'!E$26:E$126,1),9)+(INDEX('Step 4 Stage Discharge'!E$26:M$126,MATCH('Step 6 Quality Check'!C771,'Step 4 Stage Discharge'!E$26:E$126,1)+1,9)-INDEX('Step 4 Stage Discharge'!E$26:M$126,MATCH('Step 6 Quality Check'!C771,'Step 4 Stage Discharge'!E$26:E$126,1),9))*('Step 6 Quality Check'!C771-INDEX('Step 4 Stage Discharge'!E$26:M$126,MATCH('Step 6 Quality Check'!C771,'Step 4 Stage Discharge'!E$26:E$126,1),1))/(INDEX('Step 4 Stage Discharge'!E$26:M$126,MATCH('Step 6 Quality Check'!C771,'Step 4 Stage Discharge'!E$26:E$126,1)+1,1)-INDEX('Step 4 Stage Discharge'!E$26:M$126,MATCH('Step 6 Quality Check'!C771,'Step 4 Stage Discharge'!E$26:E$126,1),1))</f>
        <v>4.3639431710317386E-3</v>
      </c>
      <c r="F771" s="218">
        <f t="shared" si="55"/>
        <v>0</v>
      </c>
      <c r="G771" s="218">
        <f t="shared" si="56"/>
        <v>0</v>
      </c>
    </row>
    <row r="772" spans="1:7">
      <c r="A772" s="217">
        <f t="shared" si="57"/>
        <v>3780</v>
      </c>
      <c r="B772" s="216">
        <f t="shared" si="58"/>
        <v>99.1</v>
      </c>
      <c r="C772" s="218">
        <f t="shared" si="59"/>
        <v>0</v>
      </c>
      <c r="D772" s="219">
        <f>INDEX('Step 4 Stage Discharge'!E$26:F$126,MATCH(C772,'Step 4 Stage Discharge'!E$26:E$126,1),2)+(INDEX('Step 4 Stage Discharge'!E$26:F$126,MATCH(C772,'Step 4 Stage Discharge'!E$26:E$126,1)+1,2)-INDEX('Step 4 Stage Discharge'!E$26:F$126,MATCH(C772,'Step 4 Stage Discharge'!E$26:E$126,1),2))*(C772-INDEX('Step 4 Stage Discharge'!E$26:F$126,MATCH(C772,'Step 4 Stage Discharge'!E$26:E$126,1),1))/(INDEX('Step 4 Stage Discharge'!E$26:F$126,MATCH(C772,'Step 4 Stage Discharge'!E$26:E$126,1)+1,1)-INDEX('Step 4 Stage Discharge'!E$26:F$126,MATCH(C772,'Step 4 Stage Discharge'!E$26:E$126,1),1))</f>
        <v>0</v>
      </c>
      <c r="E772" s="219">
        <f>INDEX('Step 4 Stage Discharge'!E$26:M$126,MATCH(C772,'Step 4 Stage Discharge'!E$26:E$126,1),9)+(INDEX('Step 4 Stage Discharge'!E$26:M$126,MATCH('Step 6 Quality Check'!C772,'Step 4 Stage Discharge'!E$26:E$126,1)+1,9)-INDEX('Step 4 Stage Discharge'!E$26:M$126,MATCH('Step 6 Quality Check'!C772,'Step 4 Stage Discharge'!E$26:E$126,1),9))*('Step 6 Quality Check'!C772-INDEX('Step 4 Stage Discharge'!E$26:M$126,MATCH('Step 6 Quality Check'!C772,'Step 4 Stage Discharge'!E$26:E$126,1),1))/(INDEX('Step 4 Stage Discharge'!E$26:M$126,MATCH('Step 6 Quality Check'!C772,'Step 4 Stage Discharge'!E$26:E$126,1)+1,1)-INDEX('Step 4 Stage Discharge'!E$26:M$126,MATCH('Step 6 Quality Check'!C772,'Step 4 Stage Discharge'!E$26:E$126,1),1))</f>
        <v>4.3639431710317386E-3</v>
      </c>
      <c r="F772" s="218">
        <f t="shared" si="55"/>
        <v>0</v>
      </c>
      <c r="G772" s="218">
        <f t="shared" si="56"/>
        <v>0</v>
      </c>
    </row>
    <row r="773" spans="1:7">
      <c r="A773" s="217">
        <f t="shared" si="57"/>
        <v>3785</v>
      </c>
      <c r="B773" s="216">
        <f t="shared" si="58"/>
        <v>99.1</v>
      </c>
      <c r="C773" s="218">
        <f t="shared" si="59"/>
        <v>0</v>
      </c>
      <c r="D773" s="219">
        <f>INDEX('Step 4 Stage Discharge'!E$26:F$126,MATCH(C773,'Step 4 Stage Discharge'!E$26:E$126,1),2)+(INDEX('Step 4 Stage Discharge'!E$26:F$126,MATCH(C773,'Step 4 Stage Discharge'!E$26:E$126,1)+1,2)-INDEX('Step 4 Stage Discharge'!E$26:F$126,MATCH(C773,'Step 4 Stage Discharge'!E$26:E$126,1),2))*(C773-INDEX('Step 4 Stage Discharge'!E$26:F$126,MATCH(C773,'Step 4 Stage Discharge'!E$26:E$126,1),1))/(INDEX('Step 4 Stage Discharge'!E$26:F$126,MATCH(C773,'Step 4 Stage Discharge'!E$26:E$126,1)+1,1)-INDEX('Step 4 Stage Discharge'!E$26:F$126,MATCH(C773,'Step 4 Stage Discharge'!E$26:E$126,1),1))</f>
        <v>0</v>
      </c>
      <c r="E773" s="219">
        <f>INDEX('Step 4 Stage Discharge'!E$26:M$126,MATCH(C773,'Step 4 Stage Discharge'!E$26:E$126,1),9)+(INDEX('Step 4 Stage Discharge'!E$26:M$126,MATCH('Step 6 Quality Check'!C773,'Step 4 Stage Discharge'!E$26:E$126,1)+1,9)-INDEX('Step 4 Stage Discharge'!E$26:M$126,MATCH('Step 6 Quality Check'!C773,'Step 4 Stage Discharge'!E$26:E$126,1),9))*('Step 6 Quality Check'!C773-INDEX('Step 4 Stage Discharge'!E$26:M$126,MATCH('Step 6 Quality Check'!C773,'Step 4 Stage Discharge'!E$26:E$126,1),1))/(INDEX('Step 4 Stage Discharge'!E$26:M$126,MATCH('Step 6 Quality Check'!C773,'Step 4 Stage Discharge'!E$26:E$126,1)+1,1)-INDEX('Step 4 Stage Discharge'!E$26:M$126,MATCH('Step 6 Quality Check'!C773,'Step 4 Stage Discharge'!E$26:E$126,1),1))</f>
        <v>4.3639431710317386E-3</v>
      </c>
      <c r="F773" s="218">
        <f t="shared" si="55"/>
        <v>0</v>
      </c>
      <c r="G773" s="218">
        <f t="shared" si="56"/>
        <v>0</v>
      </c>
    </row>
    <row r="774" spans="1:7">
      <c r="A774" s="217">
        <f t="shared" si="57"/>
        <v>3790</v>
      </c>
      <c r="B774" s="216">
        <f t="shared" si="58"/>
        <v>99.1</v>
      </c>
      <c r="C774" s="218">
        <f t="shared" si="59"/>
        <v>0</v>
      </c>
      <c r="D774" s="219">
        <f>INDEX('Step 4 Stage Discharge'!E$26:F$126,MATCH(C774,'Step 4 Stage Discharge'!E$26:E$126,1),2)+(INDEX('Step 4 Stage Discharge'!E$26:F$126,MATCH(C774,'Step 4 Stage Discharge'!E$26:E$126,1)+1,2)-INDEX('Step 4 Stage Discharge'!E$26:F$126,MATCH(C774,'Step 4 Stage Discharge'!E$26:E$126,1),2))*(C774-INDEX('Step 4 Stage Discharge'!E$26:F$126,MATCH(C774,'Step 4 Stage Discharge'!E$26:E$126,1),1))/(INDEX('Step 4 Stage Discharge'!E$26:F$126,MATCH(C774,'Step 4 Stage Discharge'!E$26:E$126,1)+1,1)-INDEX('Step 4 Stage Discharge'!E$26:F$126,MATCH(C774,'Step 4 Stage Discharge'!E$26:E$126,1),1))</f>
        <v>0</v>
      </c>
      <c r="E774" s="219">
        <f>INDEX('Step 4 Stage Discharge'!E$26:M$126,MATCH(C774,'Step 4 Stage Discharge'!E$26:E$126,1),9)+(INDEX('Step 4 Stage Discharge'!E$26:M$126,MATCH('Step 6 Quality Check'!C774,'Step 4 Stage Discharge'!E$26:E$126,1)+1,9)-INDEX('Step 4 Stage Discharge'!E$26:M$126,MATCH('Step 6 Quality Check'!C774,'Step 4 Stage Discharge'!E$26:E$126,1),9))*('Step 6 Quality Check'!C774-INDEX('Step 4 Stage Discharge'!E$26:M$126,MATCH('Step 6 Quality Check'!C774,'Step 4 Stage Discharge'!E$26:E$126,1),1))/(INDEX('Step 4 Stage Discharge'!E$26:M$126,MATCH('Step 6 Quality Check'!C774,'Step 4 Stage Discharge'!E$26:E$126,1)+1,1)-INDEX('Step 4 Stage Discharge'!E$26:M$126,MATCH('Step 6 Quality Check'!C774,'Step 4 Stage Discharge'!E$26:E$126,1),1))</f>
        <v>4.3639431710317386E-3</v>
      </c>
      <c r="F774" s="218">
        <f t="shared" si="55"/>
        <v>0</v>
      </c>
      <c r="G774" s="218">
        <f t="shared" si="56"/>
        <v>0</v>
      </c>
    </row>
    <row r="775" spans="1:7">
      <c r="A775" s="217">
        <f t="shared" si="57"/>
        <v>3795</v>
      </c>
      <c r="B775" s="216">
        <f t="shared" si="58"/>
        <v>99.1</v>
      </c>
      <c r="C775" s="218">
        <f t="shared" si="59"/>
        <v>0</v>
      </c>
      <c r="D775" s="219">
        <f>INDEX('Step 4 Stage Discharge'!E$26:F$126,MATCH(C775,'Step 4 Stage Discharge'!E$26:E$126,1),2)+(INDEX('Step 4 Stage Discharge'!E$26:F$126,MATCH(C775,'Step 4 Stage Discharge'!E$26:E$126,1)+1,2)-INDEX('Step 4 Stage Discharge'!E$26:F$126,MATCH(C775,'Step 4 Stage Discharge'!E$26:E$126,1),2))*(C775-INDEX('Step 4 Stage Discharge'!E$26:F$126,MATCH(C775,'Step 4 Stage Discharge'!E$26:E$126,1),1))/(INDEX('Step 4 Stage Discharge'!E$26:F$126,MATCH(C775,'Step 4 Stage Discharge'!E$26:E$126,1)+1,1)-INDEX('Step 4 Stage Discharge'!E$26:F$126,MATCH(C775,'Step 4 Stage Discharge'!E$26:E$126,1),1))</f>
        <v>0</v>
      </c>
      <c r="E775" s="219">
        <f>INDEX('Step 4 Stage Discharge'!E$26:M$126,MATCH(C775,'Step 4 Stage Discharge'!E$26:E$126,1),9)+(INDEX('Step 4 Stage Discharge'!E$26:M$126,MATCH('Step 6 Quality Check'!C775,'Step 4 Stage Discharge'!E$26:E$126,1)+1,9)-INDEX('Step 4 Stage Discharge'!E$26:M$126,MATCH('Step 6 Quality Check'!C775,'Step 4 Stage Discharge'!E$26:E$126,1),9))*('Step 6 Quality Check'!C775-INDEX('Step 4 Stage Discharge'!E$26:M$126,MATCH('Step 6 Quality Check'!C775,'Step 4 Stage Discharge'!E$26:E$126,1),1))/(INDEX('Step 4 Stage Discharge'!E$26:M$126,MATCH('Step 6 Quality Check'!C775,'Step 4 Stage Discharge'!E$26:E$126,1)+1,1)-INDEX('Step 4 Stage Discharge'!E$26:M$126,MATCH('Step 6 Quality Check'!C775,'Step 4 Stage Discharge'!E$26:E$126,1),1))</f>
        <v>4.3639431710317386E-3</v>
      </c>
      <c r="F775" s="218">
        <f t="shared" si="55"/>
        <v>0</v>
      </c>
      <c r="G775" s="218">
        <f t="shared" si="56"/>
        <v>0</v>
      </c>
    </row>
    <row r="776" spans="1:7">
      <c r="A776" s="217">
        <f t="shared" si="57"/>
        <v>3800</v>
      </c>
      <c r="B776" s="216">
        <f t="shared" si="58"/>
        <v>99.1</v>
      </c>
      <c r="C776" s="218">
        <f t="shared" si="59"/>
        <v>0</v>
      </c>
      <c r="D776" s="219">
        <f>INDEX('Step 4 Stage Discharge'!E$26:F$126,MATCH(C776,'Step 4 Stage Discharge'!E$26:E$126,1),2)+(INDEX('Step 4 Stage Discharge'!E$26:F$126,MATCH(C776,'Step 4 Stage Discharge'!E$26:E$126,1)+1,2)-INDEX('Step 4 Stage Discharge'!E$26:F$126,MATCH(C776,'Step 4 Stage Discharge'!E$26:E$126,1),2))*(C776-INDEX('Step 4 Stage Discharge'!E$26:F$126,MATCH(C776,'Step 4 Stage Discharge'!E$26:E$126,1),1))/(INDEX('Step 4 Stage Discharge'!E$26:F$126,MATCH(C776,'Step 4 Stage Discharge'!E$26:E$126,1)+1,1)-INDEX('Step 4 Stage Discharge'!E$26:F$126,MATCH(C776,'Step 4 Stage Discharge'!E$26:E$126,1),1))</f>
        <v>0</v>
      </c>
      <c r="E776" s="219">
        <f>INDEX('Step 4 Stage Discharge'!E$26:M$126,MATCH(C776,'Step 4 Stage Discharge'!E$26:E$126,1),9)+(INDEX('Step 4 Stage Discharge'!E$26:M$126,MATCH('Step 6 Quality Check'!C776,'Step 4 Stage Discharge'!E$26:E$126,1)+1,9)-INDEX('Step 4 Stage Discharge'!E$26:M$126,MATCH('Step 6 Quality Check'!C776,'Step 4 Stage Discharge'!E$26:E$126,1),9))*('Step 6 Quality Check'!C776-INDEX('Step 4 Stage Discharge'!E$26:M$126,MATCH('Step 6 Quality Check'!C776,'Step 4 Stage Discharge'!E$26:E$126,1),1))/(INDEX('Step 4 Stage Discharge'!E$26:M$126,MATCH('Step 6 Quality Check'!C776,'Step 4 Stage Discharge'!E$26:E$126,1)+1,1)-INDEX('Step 4 Stage Discharge'!E$26:M$126,MATCH('Step 6 Quality Check'!C776,'Step 4 Stage Discharge'!E$26:E$126,1),1))</f>
        <v>4.3639431710317386E-3</v>
      </c>
      <c r="F776" s="218">
        <f t="shared" si="55"/>
        <v>0</v>
      </c>
      <c r="G776" s="218">
        <f t="shared" si="56"/>
        <v>0</v>
      </c>
    </row>
    <row r="777" spans="1:7">
      <c r="A777" s="217">
        <f t="shared" si="57"/>
        <v>3805</v>
      </c>
      <c r="B777" s="216">
        <f t="shared" si="58"/>
        <v>99.1</v>
      </c>
      <c r="C777" s="218">
        <f t="shared" si="59"/>
        <v>0</v>
      </c>
      <c r="D777" s="219">
        <f>INDEX('Step 4 Stage Discharge'!E$26:F$126,MATCH(C777,'Step 4 Stage Discharge'!E$26:E$126,1),2)+(INDEX('Step 4 Stage Discharge'!E$26:F$126,MATCH(C777,'Step 4 Stage Discharge'!E$26:E$126,1)+1,2)-INDEX('Step 4 Stage Discharge'!E$26:F$126,MATCH(C777,'Step 4 Stage Discharge'!E$26:E$126,1),2))*(C777-INDEX('Step 4 Stage Discharge'!E$26:F$126,MATCH(C777,'Step 4 Stage Discharge'!E$26:E$126,1),1))/(INDEX('Step 4 Stage Discharge'!E$26:F$126,MATCH(C777,'Step 4 Stage Discharge'!E$26:E$126,1)+1,1)-INDEX('Step 4 Stage Discharge'!E$26:F$126,MATCH(C777,'Step 4 Stage Discharge'!E$26:E$126,1),1))</f>
        <v>0</v>
      </c>
      <c r="E777" s="219">
        <f>INDEX('Step 4 Stage Discharge'!E$26:M$126,MATCH(C777,'Step 4 Stage Discharge'!E$26:E$126,1),9)+(INDEX('Step 4 Stage Discharge'!E$26:M$126,MATCH('Step 6 Quality Check'!C777,'Step 4 Stage Discharge'!E$26:E$126,1)+1,9)-INDEX('Step 4 Stage Discharge'!E$26:M$126,MATCH('Step 6 Quality Check'!C777,'Step 4 Stage Discharge'!E$26:E$126,1),9))*('Step 6 Quality Check'!C777-INDEX('Step 4 Stage Discharge'!E$26:M$126,MATCH('Step 6 Quality Check'!C777,'Step 4 Stage Discharge'!E$26:E$126,1),1))/(INDEX('Step 4 Stage Discharge'!E$26:M$126,MATCH('Step 6 Quality Check'!C777,'Step 4 Stage Discharge'!E$26:E$126,1)+1,1)-INDEX('Step 4 Stage Discharge'!E$26:M$126,MATCH('Step 6 Quality Check'!C777,'Step 4 Stage Discharge'!E$26:E$126,1),1))</f>
        <v>4.3639431710317386E-3</v>
      </c>
      <c r="F777" s="218">
        <f t="shared" si="55"/>
        <v>0</v>
      </c>
      <c r="G777" s="218">
        <f t="shared" si="56"/>
        <v>0</v>
      </c>
    </row>
    <row r="778" spans="1:7">
      <c r="A778" s="217">
        <f t="shared" si="57"/>
        <v>3810</v>
      </c>
      <c r="B778" s="216">
        <f t="shared" si="58"/>
        <v>99.1</v>
      </c>
      <c r="C778" s="218">
        <f t="shared" si="59"/>
        <v>0</v>
      </c>
      <c r="D778" s="219">
        <f>INDEX('Step 4 Stage Discharge'!E$26:F$126,MATCH(C778,'Step 4 Stage Discharge'!E$26:E$126,1),2)+(INDEX('Step 4 Stage Discharge'!E$26:F$126,MATCH(C778,'Step 4 Stage Discharge'!E$26:E$126,1)+1,2)-INDEX('Step 4 Stage Discharge'!E$26:F$126,MATCH(C778,'Step 4 Stage Discharge'!E$26:E$126,1),2))*(C778-INDEX('Step 4 Stage Discharge'!E$26:F$126,MATCH(C778,'Step 4 Stage Discharge'!E$26:E$126,1),1))/(INDEX('Step 4 Stage Discharge'!E$26:F$126,MATCH(C778,'Step 4 Stage Discharge'!E$26:E$126,1)+1,1)-INDEX('Step 4 Stage Discharge'!E$26:F$126,MATCH(C778,'Step 4 Stage Discharge'!E$26:E$126,1),1))</f>
        <v>0</v>
      </c>
      <c r="E778" s="219">
        <f>INDEX('Step 4 Stage Discharge'!E$26:M$126,MATCH(C778,'Step 4 Stage Discharge'!E$26:E$126,1),9)+(INDEX('Step 4 Stage Discharge'!E$26:M$126,MATCH('Step 6 Quality Check'!C778,'Step 4 Stage Discharge'!E$26:E$126,1)+1,9)-INDEX('Step 4 Stage Discharge'!E$26:M$126,MATCH('Step 6 Quality Check'!C778,'Step 4 Stage Discharge'!E$26:E$126,1),9))*('Step 6 Quality Check'!C778-INDEX('Step 4 Stage Discharge'!E$26:M$126,MATCH('Step 6 Quality Check'!C778,'Step 4 Stage Discharge'!E$26:E$126,1),1))/(INDEX('Step 4 Stage Discharge'!E$26:M$126,MATCH('Step 6 Quality Check'!C778,'Step 4 Stage Discharge'!E$26:E$126,1)+1,1)-INDEX('Step 4 Stage Discharge'!E$26:M$126,MATCH('Step 6 Quality Check'!C778,'Step 4 Stage Discharge'!E$26:E$126,1),1))</f>
        <v>4.3639431710317386E-3</v>
      </c>
      <c r="F778" s="218">
        <f t="shared" si="55"/>
        <v>0</v>
      </c>
      <c r="G778" s="218">
        <f t="shared" si="56"/>
        <v>0</v>
      </c>
    </row>
    <row r="779" spans="1:7">
      <c r="A779" s="217">
        <f t="shared" si="57"/>
        <v>3815</v>
      </c>
      <c r="B779" s="216">
        <f t="shared" si="58"/>
        <v>99.1</v>
      </c>
      <c r="C779" s="218">
        <f t="shared" si="59"/>
        <v>0</v>
      </c>
      <c r="D779" s="219">
        <f>INDEX('Step 4 Stage Discharge'!E$26:F$126,MATCH(C779,'Step 4 Stage Discharge'!E$26:E$126,1),2)+(INDEX('Step 4 Stage Discharge'!E$26:F$126,MATCH(C779,'Step 4 Stage Discharge'!E$26:E$126,1)+1,2)-INDEX('Step 4 Stage Discharge'!E$26:F$126,MATCH(C779,'Step 4 Stage Discharge'!E$26:E$126,1),2))*(C779-INDEX('Step 4 Stage Discharge'!E$26:F$126,MATCH(C779,'Step 4 Stage Discharge'!E$26:E$126,1),1))/(INDEX('Step 4 Stage Discharge'!E$26:F$126,MATCH(C779,'Step 4 Stage Discharge'!E$26:E$126,1)+1,1)-INDEX('Step 4 Stage Discharge'!E$26:F$126,MATCH(C779,'Step 4 Stage Discharge'!E$26:E$126,1),1))</f>
        <v>0</v>
      </c>
      <c r="E779" s="219">
        <f>INDEX('Step 4 Stage Discharge'!E$26:M$126,MATCH(C779,'Step 4 Stage Discharge'!E$26:E$126,1),9)+(INDEX('Step 4 Stage Discharge'!E$26:M$126,MATCH('Step 6 Quality Check'!C779,'Step 4 Stage Discharge'!E$26:E$126,1)+1,9)-INDEX('Step 4 Stage Discharge'!E$26:M$126,MATCH('Step 6 Quality Check'!C779,'Step 4 Stage Discharge'!E$26:E$126,1),9))*('Step 6 Quality Check'!C779-INDEX('Step 4 Stage Discharge'!E$26:M$126,MATCH('Step 6 Quality Check'!C779,'Step 4 Stage Discharge'!E$26:E$126,1),1))/(INDEX('Step 4 Stage Discharge'!E$26:M$126,MATCH('Step 6 Quality Check'!C779,'Step 4 Stage Discharge'!E$26:E$126,1)+1,1)-INDEX('Step 4 Stage Discharge'!E$26:M$126,MATCH('Step 6 Quality Check'!C779,'Step 4 Stage Discharge'!E$26:E$126,1),1))</f>
        <v>4.3639431710317386E-3</v>
      </c>
      <c r="F779" s="218">
        <f t="shared" si="55"/>
        <v>0</v>
      </c>
      <c r="G779" s="218">
        <f t="shared" si="56"/>
        <v>0</v>
      </c>
    </row>
    <row r="780" spans="1:7">
      <c r="A780" s="217">
        <f t="shared" si="57"/>
        <v>3820</v>
      </c>
      <c r="B780" s="216">
        <f t="shared" si="58"/>
        <v>99.1</v>
      </c>
      <c r="C780" s="218">
        <f t="shared" si="59"/>
        <v>0</v>
      </c>
      <c r="D780" s="219">
        <f>INDEX('Step 4 Stage Discharge'!E$26:F$126,MATCH(C780,'Step 4 Stage Discharge'!E$26:E$126,1),2)+(INDEX('Step 4 Stage Discharge'!E$26:F$126,MATCH(C780,'Step 4 Stage Discharge'!E$26:E$126,1)+1,2)-INDEX('Step 4 Stage Discharge'!E$26:F$126,MATCH(C780,'Step 4 Stage Discharge'!E$26:E$126,1),2))*(C780-INDEX('Step 4 Stage Discharge'!E$26:F$126,MATCH(C780,'Step 4 Stage Discharge'!E$26:E$126,1),1))/(INDEX('Step 4 Stage Discharge'!E$26:F$126,MATCH(C780,'Step 4 Stage Discharge'!E$26:E$126,1)+1,1)-INDEX('Step 4 Stage Discharge'!E$26:F$126,MATCH(C780,'Step 4 Stage Discharge'!E$26:E$126,1),1))</f>
        <v>0</v>
      </c>
      <c r="E780" s="219">
        <f>INDEX('Step 4 Stage Discharge'!E$26:M$126,MATCH(C780,'Step 4 Stage Discharge'!E$26:E$126,1),9)+(INDEX('Step 4 Stage Discharge'!E$26:M$126,MATCH('Step 6 Quality Check'!C780,'Step 4 Stage Discharge'!E$26:E$126,1)+1,9)-INDEX('Step 4 Stage Discharge'!E$26:M$126,MATCH('Step 6 Quality Check'!C780,'Step 4 Stage Discharge'!E$26:E$126,1),9))*('Step 6 Quality Check'!C780-INDEX('Step 4 Stage Discharge'!E$26:M$126,MATCH('Step 6 Quality Check'!C780,'Step 4 Stage Discharge'!E$26:E$126,1),1))/(INDEX('Step 4 Stage Discharge'!E$26:M$126,MATCH('Step 6 Quality Check'!C780,'Step 4 Stage Discharge'!E$26:E$126,1)+1,1)-INDEX('Step 4 Stage Discharge'!E$26:M$126,MATCH('Step 6 Quality Check'!C780,'Step 4 Stage Discharge'!E$26:E$126,1),1))</f>
        <v>4.3639431710317386E-3</v>
      </c>
      <c r="F780" s="218">
        <f t="shared" si="55"/>
        <v>0</v>
      </c>
      <c r="G780" s="218">
        <f t="shared" si="56"/>
        <v>0</v>
      </c>
    </row>
    <row r="781" spans="1:7">
      <c r="A781" s="217">
        <f t="shared" si="57"/>
        <v>3825</v>
      </c>
      <c r="B781" s="216">
        <f t="shared" si="58"/>
        <v>99.1</v>
      </c>
      <c r="C781" s="218">
        <f t="shared" si="59"/>
        <v>0</v>
      </c>
      <c r="D781" s="219">
        <f>INDEX('Step 4 Stage Discharge'!E$26:F$126,MATCH(C781,'Step 4 Stage Discharge'!E$26:E$126,1),2)+(INDEX('Step 4 Stage Discharge'!E$26:F$126,MATCH(C781,'Step 4 Stage Discharge'!E$26:E$126,1)+1,2)-INDEX('Step 4 Stage Discharge'!E$26:F$126,MATCH(C781,'Step 4 Stage Discharge'!E$26:E$126,1),2))*(C781-INDEX('Step 4 Stage Discharge'!E$26:F$126,MATCH(C781,'Step 4 Stage Discharge'!E$26:E$126,1),1))/(INDEX('Step 4 Stage Discharge'!E$26:F$126,MATCH(C781,'Step 4 Stage Discharge'!E$26:E$126,1)+1,1)-INDEX('Step 4 Stage Discharge'!E$26:F$126,MATCH(C781,'Step 4 Stage Discharge'!E$26:E$126,1),1))</f>
        <v>0</v>
      </c>
      <c r="E781" s="219">
        <f>INDEX('Step 4 Stage Discharge'!E$26:M$126,MATCH(C781,'Step 4 Stage Discharge'!E$26:E$126,1),9)+(INDEX('Step 4 Stage Discharge'!E$26:M$126,MATCH('Step 6 Quality Check'!C781,'Step 4 Stage Discharge'!E$26:E$126,1)+1,9)-INDEX('Step 4 Stage Discharge'!E$26:M$126,MATCH('Step 6 Quality Check'!C781,'Step 4 Stage Discharge'!E$26:E$126,1),9))*('Step 6 Quality Check'!C781-INDEX('Step 4 Stage Discharge'!E$26:M$126,MATCH('Step 6 Quality Check'!C781,'Step 4 Stage Discharge'!E$26:E$126,1),1))/(INDEX('Step 4 Stage Discharge'!E$26:M$126,MATCH('Step 6 Quality Check'!C781,'Step 4 Stage Discharge'!E$26:E$126,1)+1,1)-INDEX('Step 4 Stage Discharge'!E$26:M$126,MATCH('Step 6 Quality Check'!C781,'Step 4 Stage Discharge'!E$26:E$126,1),1))</f>
        <v>4.3639431710317386E-3</v>
      </c>
      <c r="F781" s="218">
        <f t="shared" si="55"/>
        <v>0</v>
      </c>
      <c r="G781" s="218">
        <f t="shared" si="56"/>
        <v>0</v>
      </c>
    </row>
    <row r="782" spans="1:7">
      <c r="A782" s="217">
        <f t="shared" si="57"/>
        <v>3830</v>
      </c>
      <c r="B782" s="216">
        <f t="shared" si="58"/>
        <v>99.1</v>
      </c>
      <c r="C782" s="218">
        <f t="shared" si="59"/>
        <v>0</v>
      </c>
      <c r="D782" s="219">
        <f>INDEX('Step 4 Stage Discharge'!E$26:F$126,MATCH(C782,'Step 4 Stage Discharge'!E$26:E$126,1),2)+(INDEX('Step 4 Stage Discharge'!E$26:F$126,MATCH(C782,'Step 4 Stage Discharge'!E$26:E$126,1)+1,2)-INDEX('Step 4 Stage Discharge'!E$26:F$126,MATCH(C782,'Step 4 Stage Discharge'!E$26:E$126,1),2))*(C782-INDEX('Step 4 Stage Discharge'!E$26:F$126,MATCH(C782,'Step 4 Stage Discharge'!E$26:E$126,1),1))/(INDEX('Step 4 Stage Discharge'!E$26:F$126,MATCH(C782,'Step 4 Stage Discharge'!E$26:E$126,1)+1,1)-INDEX('Step 4 Stage Discharge'!E$26:F$126,MATCH(C782,'Step 4 Stage Discharge'!E$26:E$126,1),1))</f>
        <v>0</v>
      </c>
      <c r="E782" s="219">
        <f>INDEX('Step 4 Stage Discharge'!E$26:M$126,MATCH(C782,'Step 4 Stage Discharge'!E$26:E$126,1),9)+(INDEX('Step 4 Stage Discharge'!E$26:M$126,MATCH('Step 6 Quality Check'!C782,'Step 4 Stage Discharge'!E$26:E$126,1)+1,9)-INDEX('Step 4 Stage Discharge'!E$26:M$126,MATCH('Step 6 Quality Check'!C782,'Step 4 Stage Discharge'!E$26:E$126,1),9))*('Step 6 Quality Check'!C782-INDEX('Step 4 Stage Discharge'!E$26:M$126,MATCH('Step 6 Quality Check'!C782,'Step 4 Stage Discharge'!E$26:E$126,1),1))/(INDEX('Step 4 Stage Discharge'!E$26:M$126,MATCH('Step 6 Quality Check'!C782,'Step 4 Stage Discharge'!E$26:E$126,1)+1,1)-INDEX('Step 4 Stage Discharge'!E$26:M$126,MATCH('Step 6 Quality Check'!C782,'Step 4 Stage Discharge'!E$26:E$126,1),1))</f>
        <v>4.3639431710317386E-3</v>
      </c>
      <c r="F782" s="218">
        <f t="shared" si="55"/>
        <v>0</v>
      </c>
      <c r="G782" s="218">
        <f t="shared" si="56"/>
        <v>0</v>
      </c>
    </row>
    <row r="783" spans="1:7">
      <c r="A783" s="217">
        <f t="shared" si="57"/>
        <v>3835</v>
      </c>
      <c r="B783" s="216">
        <f t="shared" si="58"/>
        <v>99.1</v>
      </c>
      <c r="C783" s="218">
        <f t="shared" si="59"/>
        <v>0</v>
      </c>
      <c r="D783" s="219">
        <f>INDEX('Step 4 Stage Discharge'!E$26:F$126,MATCH(C783,'Step 4 Stage Discharge'!E$26:E$126,1),2)+(INDEX('Step 4 Stage Discharge'!E$26:F$126,MATCH(C783,'Step 4 Stage Discharge'!E$26:E$126,1)+1,2)-INDEX('Step 4 Stage Discharge'!E$26:F$126,MATCH(C783,'Step 4 Stage Discharge'!E$26:E$126,1),2))*(C783-INDEX('Step 4 Stage Discharge'!E$26:F$126,MATCH(C783,'Step 4 Stage Discharge'!E$26:E$126,1),1))/(INDEX('Step 4 Stage Discharge'!E$26:F$126,MATCH(C783,'Step 4 Stage Discharge'!E$26:E$126,1)+1,1)-INDEX('Step 4 Stage Discharge'!E$26:F$126,MATCH(C783,'Step 4 Stage Discharge'!E$26:E$126,1),1))</f>
        <v>0</v>
      </c>
      <c r="E783" s="219">
        <f>INDEX('Step 4 Stage Discharge'!E$26:M$126,MATCH(C783,'Step 4 Stage Discharge'!E$26:E$126,1),9)+(INDEX('Step 4 Stage Discharge'!E$26:M$126,MATCH('Step 6 Quality Check'!C783,'Step 4 Stage Discharge'!E$26:E$126,1)+1,9)-INDEX('Step 4 Stage Discharge'!E$26:M$126,MATCH('Step 6 Quality Check'!C783,'Step 4 Stage Discharge'!E$26:E$126,1),9))*('Step 6 Quality Check'!C783-INDEX('Step 4 Stage Discharge'!E$26:M$126,MATCH('Step 6 Quality Check'!C783,'Step 4 Stage Discharge'!E$26:E$126,1),1))/(INDEX('Step 4 Stage Discharge'!E$26:M$126,MATCH('Step 6 Quality Check'!C783,'Step 4 Stage Discharge'!E$26:E$126,1)+1,1)-INDEX('Step 4 Stage Discharge'!E$26:M$126,MATCH('Step 6 Quality Check'!C783,'Step 4 Stage Discharge'!E$26:E$126,1),1))</f>
        <v>4.3639431710317386E-3</v>
      </c>
      <c r="F783" s="218">
        <f t="shared" si="55"/>
        <v>0</v>
      </c>
      <c r="G783" s="218">
        <f t="shared" si="56"/>
        <v>0</v>
      </c>
    </row>
    <row r="784" spans="1:7">
      <c r="A784" s="217">
        <f t="shared" si="57"/>
        <v>3840</v>
      </c>
      <c r="B784" s="216">
        <f t="shared" si="58"/>
        <v>99.1</v>
      </c>
      <c r="C784" s="218">
        <f t="shared" si="59"/>
        <v>0</v>
      </c>
      <c r="D784" s="219">
        <f>INDEX('Step 4 Stage Discharge'!E$26:F$126,MATCH(C784,'Step 4 Stage Discharge'!E$26:E$126,1),2)+(INDEX('Step 4 Stage Discharge'!E$26:F$126,MATCH(C784,'Step 4 Stage Discharge'!E$26:E$126,1)+1,2)-INDEX('Step 4 Stage Discharge'!E$26:F$126,MATCH(C784,'Step 4 Stage Discharge'!E$26:E$126,1),2))*(C784-INDEX('Step 4 Stage Discharge'!E$26:F$126,MATCH(C784,'Step 4 Stage Discharge'!E$26:E$126,1),1))/(INDEX('Step 4 Stage Discharge'!E$26:F$126,MATCH(C784,'Step 4 Stage Discharge'!E$26:E$126,1)+1,1)-INDEX('Step 4 Stage Discharge'!E$26:F$126,MATCH(C784,'Step 4 Stage Discharge'!E$26:E$126,1),1))</f>
        <v>0</v>
      </c>
      <c r="E784" s="219">
        <f>INDEX('Step 4 Stage Discharge'!E$26:M$126,MATCH(C784,'Step 4 Stage Discharge'!E$26:E$126,1),9)+(INDEX('Step 4 Stage Discharge'!E$26:M$126,MATCH('Step 6 Quality Check'!C784,'Step 4 Stage Discharge'!E$26:E$126,1)+1,9)-INDEX('Step 4 Stage Discharge'!E$26:M$126,MATCH('Step 6 Quality Check'!C784,'Step 4 Stage Discharge'!E$26:E$126,1),9))*('Step 6 Quality Check'!C784-INDEX('Step 4 Stage Discharge'!E$26:M$126,MATCH('Step 6 Quality Check'!C784,'Step 4 Stage Discharge'!E$26:E$126,1),1))/(INDEX('Step 4 Stage Discharge'!E$26:M$126,MATCH('Step 6 Quality Check'!C784,'Step 4 Stage Discharge'!E$26:E$126,1)+1,1)-INDEX('Step 4 Stage Discharge'!E$26:M$126,MATCH('Step 6 Quality Check'!C784,'Step 4 Stage Discharge'!E$26:E$126,1),1))</f>
        <v>4.3639431710317386E-3</v>
      </c>
      <c r="F784" s="218">
        <f t="shared" ref="F784:F847" si="60">IF(E784*60*C$9&gt;C784,C784,E784*60*C$9)</f>
        <v>0</v>
      </c>
      <c r="G784" s="218">
        <f t="shared" ref="G784:G847" si="61">IF(C784-F784&lt;0,0,C784-F784)</f>
        <v>0</v>
      </c>
    </row>
    <row r="785" spans="1:7">
      <c r="A785" s="217">
        <f t="shared" ref="A785:A848" si="62">+A784+C$9</f>
        <v>3845</v>
      </c>
      <c r="B785" s="216">
        <f t="shared" si="58"/>
        <v>99.1</v>
      </c>
      <c r="C785" s="218">
        <f t="shared" si="59"/>
        <v>0</v>
      </c>
      <c r="D785" s="219">
        <f>INDEX('Step 4 Stage Discharge'!E$26:F$126,MATCH(C785,'Step 4 Stage Discharge'!E$26:E$126,1),2)+(INDEX('Step 4 Stage Discharge'!E$26:F$126,MATCH(C785,'Step 4 Stage Discharge'!E$26:E$126,1)+1,2)-INDEX('Step 4 Stage Discharge'!E$26:F$126,MATCH(C785,'Step 4 Stage Discharge'!E$26:E$126,1),2))*(C785-INDEX('Step 4 Stage Discharge'!E$26:F$126,MATCH(C785,'Step 4 Stage Discharge'!E$26:E$126,1),1))/(INDEX('Step 4 Stage Discharge'!E$26:F$126,MATCH(C785,'Step 4 Stage Discharge'!E$26:E$126,1)+1,1)-INDEX('Step 4 Stage Discharge'!E$26:F$126,MATCH(C785,'Step 4 Stage Discharge'!E$26:E$126,1),1))</f>
        <v>0</v>
      </c>
      <c r="E785" s="219">
        <f>INDEX('Step 4 Stage Discharge'!E$26:M$126,MATCH(C785,'Step 4 Stage Discharge'!E$26:E$126,1),9)+(INDEX('Step 4 Stage Discharge'!E$26:M$126,MATCH('Step 6 Quality Check'!C785,'Step 4 Stage Discharge'!E$26:E$126,1)+1,9)-INDEX('Step 4 Stage Discharge'!E$26:M$126,MATCH('Step 6 Quality Check'!C785,'Step 4 Stage Discharge'!E$26:E$126,1),9))*('Step 6 Quality Check'!C785-INDEX('Step 4 Stage Discharge'!E$26:M$126,MATCH('Step 6 Quality Check'!C785,'Step 4 Stage Discharge'!E$26:E$126,1),1))/(INDEX('Step 4 Stage Discharge'!E$26:M$126,MATCH('Step 6 Quality Check'!C785,'Step 4 Stage Discharge'!E$26:E$126,1)+1,1)-INDEX('Step 4 Stage Discharge'!E$26:M$126,MATCH('Step 6 Quality Check'!C785,'Step 4 Stage Discharge'!E$26:E$126,1),1))</f>
        <v>4.3639431710317386E-3</v>
      </c>
      <c r="F785" s="218">
        <f t="shared" si="60"/>
        <v>0</v>
      </c>
      <c r="G785" s="218">
        <f t="shared" si="61"/>
        <v>0</v>
      </c>
    </row>
    <row r="786" spans="1:7">
      <c r="A786" s="217">
        <f t="shared" si="62"/>
        <v>3850</v>
      </c>
      <c r="B786" s="216">
        <f t="shared" ref="B786:B849" si="63">C$6+D786</f>
        <v>99.1</v>
      </c>
      <c r="C786" s="218">
        <f t="shared" ref="C786:C849" si="64">+G785</f>
        <v>0</v>
      </c>
      <c r="D786" s="219">
        <f>INDEX('Step 4 Stage Discharge'!E$26:F$126,MATCH(C786,'Step 4 Stage Discharge'!E$26:E$126,1),2)+(INDEX('Step 4 Stage Discharge'!E$26:F$126,MATCH(C786,'Step 4 Stage Discharge'!E$26:E$126,1)+1,2)-INDEX('Step 4 Stage Discharge'!E$26:F$126,MATCH(C786,'Step 4 Stage Discharge'!E$26:E$126,1),2))*(C786-INDEX('Step 4 Stage Discharge'!E$26:F$126,MATCH(C786,'Step 4 Stage Discharge'!E$26:E$126,1),1))/(INDEX('Step 4 Stage Discharge'!E$26:F$126,MATCH(C786,'Step 4 Stage Discharge'!E$26:E$126,1)+1,1)-INDEX('Step 4 Stage Discharge'!E$26:F$126,MATCH(C786,'Step 4 Stage Discharge'!E$26:E$126,1),1))</f>
        <v>0</v>
      </c>
      <c r="E786" s="219">
        <f>INDEX('Step 4 Stage Discharge'!E$26:M$126,MATCH(C786,'Step 4 Stage Discharge'!E$26:E$126,1),9)+(INDEX('Step 4 Stage Discharge'!E$26:M$126,MATCH('Step 6 Quality Check'!C786,'Step 4 Stage Discharge'!E$26:E$126,1)+1,9)-INDEX('Step 4 Stage Discharge'!E$26:M$126,MATCH('Step 6 Quality Check'!C786,'Step 4 Stage Discharge'!E$26:E$126,1),9))*('Step 6 Quality Check'!C786-INDEX('Step 4 Stage Discharge'!E$26:M$126,MATCH('Step 6 Quality Check'!C786,'Step 4 Stage Discharge'!E$26:E$126,1),1))/(INDEX('Step 4 Stage Discharge'!E$26:M$126,MATCH('Step 6 Quality Check'!C786,'Step 4 Stage Discharge'!E$26:E$126,1)+1,1)-INDEX('Step 4 Stage Discharge'!E$26:M$126,MATCH('Step 6 Quality Check'!C786,'Step 4 Stage Discharge'!E$26:E$126,1),1))</f>
        <v>4.3639431710317386E-3</v>
      </c>
      <c r="F786" s="218">
        <f t="shared" si="60"/>
        <v>0</v>
      </c>
      <c r="G786" s="218">
        <f t="shared" si="61"/>
        <v>0</v>
      </c>
    </row>
    <row r="787" spans="1:7">
      <c r="A787" s="217">
        <f t="shared" si="62"/>
        <v>3855</v>
      </c>
      <c r="B787" s="216">
        <f t="shared" si="63"/>
        <v>99.1</v>
      </c>
      <c r="C787" s="218">
        <f t="shared" si="64"/>
        <v>0</v>
      </c>
      <c r="D787" s="219">
        <f>INDEX('Step 4 Stage Discharge'!E$26:F$126,MATCH(C787,'Step 4 Stage Discharge'!E$26:E$126,1),2)+(INDEX('Step 4 Stage Discharge'!E$26:F$126,MATCH(C787,'Step 4 Stage Discharge'!E$26:E$126,1)+1,2)-INDEX('Step 4 Stage Discharge'!E$26:F$126,MATCH(C787,'Step 4 Stage Discharge'!E$26:E$126,1),2))*(C787-INDEX('Step 4 Stage Discharge'!E$26:F$126,MATCH(C787,'Step 4 Stage Discharge'!E$26:E$126,1),1))/(INDEX('Step 4 Stage Discharge'!E$26:F$126,MATCH(C787,'Step 4 Stage Discharge'!E$26:E$126,1)+1,1)-INDEX('Step 4 Stage Discharge'!E$26:F$126,MATCH(C787,'Step 4 Stage Discharge'!E$26:E$126,1),1))</f>
        <v>0</v>
      </c>
      <c r="E787" s="219">
        <f>INDEX('Step 4 Stage Discharge'!E$26:M$126,MATCH(C787,'Step 4 Stage Discharge'!E$26:E$126,1),9)+(INDEX('Step 4 Stage Discharge'!E$26:M$126,MATCH('Step 6 Quality Check'!C787,'Step 4 Stage Discharge'!E$26:E$126,1)+1,9)-INDEX('Step 4 Stage Discharge'!E$26:M$126,MATCH('Step 6 Quality Check'!C787,'Step 4 Stage Discharge'!E$26:E$126,1),9))*('Step 6 Quality Check'!C787-INDEX('Step 4 Stage Discharge'!E$26:M$126,MATCH('Step 6 Quality Check'!C787,'Step 4 Stage Discharge'!E$26:E$126,1),1))/(INDEX('Step 4 Stage Discharge'!E$26:M$126,MATCH('Step 6 Quality Check'!C787,'Step 4 Stage Discharge'!E$26:E$126,1)+1,1)-INDEX('Step 4 Stage Discharge'!E$26:M$126,MATCH('Step 6 Quality Check'!C787,'Step 4 Stage Discharge'!E$26:E$126,1),1))</f>
        <v>4.3639431710317386E-3</v>
      </c>
      <c r="F787" s="218">
        <f t="shared" si="60"/>
        <v>0</v>
      </c>
      <c r="G787" s="218">
        <f t="shared" si="61"/>
        <v>0</v>
      </c>
    </row>
    <row r="788" spans="1:7">
      <c r="A788" s="217">
        <f t="shared" si="62"/>
        <v>3860</v>
      </c>
      <c r="B788" s="216">
        <f t="shared" si="63"/>
        <v>99.1</v>
      </c>
      <c r="C788" s="218">
        <f t="shared" si="64"/>
        <v>0</v>
      </c>
      <c r="D788" s="219">
        <f>INDEX('Step 4 Stage Discharge'!E$26:F$126,MATCH(C788,'Step 4 Stage Discharge'!E$26:E$126,1),2)+(INDEX('Step 4 Stage Discharge'!E$26:F$126,MATCH(C788,'Step 4 Stage Discharge'!E$26:E$126,1)+1,2)-INDEX('Step 4 Stage Discharge'!E$26:F$126,MATCH(C788,'Step 4 Stage Discharge'!E$26:E$126,1),2))*(C788-INDEX('Step 4 Stage Discharge'!E$26:F$126,MATCH(C788,'Step 4 Stage Discharge'!E$26:E$126,1),1))/(INDEX('Step 4 Stage Discharge'!E$26:F$126,MATCH(C788,'Step 4 Stage Discharge'!E$26:E$126,1)+1,1)-INDEX('Step 4 Stage Discharge'!E$26:F$126,MATCH(C788,'Step 4 Stage Discharge'!E$26:E$126,1),1))</f>
        <v>0</v>
      </c>
      <c r="E788" s="219">
        <f>INDEX('Step 4 Stage Discharge'!E$26:M$126,MATCH(C788,'Step 4 Stage Discharge'!E$26:E$126,1),9)+(INDEX('Step 4 Stage Discharge'!E$26:M$126,MATCH('Step 6 Quality Check'!C788,'Step 4 Stage Discharge'!E$26:E$126,1)+1,9)-INDEX('Step 4 Stage Discharge'!E$26:M$126,MATCH('Step 6 Quality Check'!C788,'Step 4 Stage Discharge'!E$26:E$126,1),9))*('Step 6 Quality Check'!C788-INDEX('Step 4 Stage Discharge'!E$26:M$126,MATCH('Step 6 Quality Check'!C788,'Step 4 Stage Discharge'!E$26:E$126,1),1))/(INDEX('Step 4 Stage Discharge'!E$26:M$126,MATCH('Step 6 Quality Check'!C788,'Step 4 Stage Discharge'!E$26:E$126,1)+1,1)-INDEX('Step 4 Stage Discharge'!E$26:M$126,MATCH('Step 6 Quality Check'!C788,'Step 4 Stage Discharge'!E$26:E$126,1),1))</f>
        <v>4.3639431710317386E-3</v>
      </c>
      <c r="F788" s="218">
        <f t="shared" si="60"/>
        <v>0</v>
      </c>
      <c r="G788" s="218">
        <f t="shared" si="61"/>
        <v>0</v>
      </c>
    </row>
    <row r="789" spans="1:7">
      <c r="A789" s="217">
        <f t="shared" si="62"/>
        <v>3865</v>
      </c>
      <c r="B789" s="216">
        <f t="shared" si="63"/>
        <v>99.1</v>
      </c>
      <c r="C789" s="218">
        <f t="shared" si="64"/>
        <v>0</v>
      </c>
      <c r="D789" s="219">
        <f>INDEX('Step 4 Stage Discharge'!E$26:F$126,MATCH(C789,'Step 4 Stage Discharge'!E$26:E$126,1),2)+(INDEX('Step 4 Stage Discharge'!E$26:F$126,MATCH(C789,'Step 4 Stage Discharge'!E$26:E$126,1)+1,2)-INDEX('Step 4 Stage Discharge'!E$26:F$126,MATCH(C789,'Step 4 Stage Discharge'!E$26:E$126,1),2))*(C789-INDEX('Step 4 Stage Discharge'!E$26:F$126,MATCH(C789,'Step 4 Stage Discharge'!E$26:E$126,1),1))/(INDEX('Step 4 Stage Discharge'!E$26:F$126,MATCH(C789,'Step 4 Stage Discharge'!E$26:E$126,1)+1,1)-INDEX('Step 4 Stage Discharge'!E$26:F$126,MATCH(C789,'Step 4 Stage Discharge'!E$26:E$126,1),1))</f>
        <v>0</v>
      </c>
      <c r="E789" s="219">
        <f>INDEX('Step 4 Stage Discharge'!E$26:M$126,MATCH(C789,'Step 4 Stage Discharge'!E$26:E$126,1),9)+(INDEX('Step 4 Stage Discharge'!E$26:M$126,MATCH('Step 6 Quality Check'!C789,'Step 4 Stage Discharge'!E$26:E$126,1)+1,9)-INDEX('Step 4 Stage Discharge'!E$26:M$126,MATCH('Step 6 Quality Check'!C789,'Step 4 Stage Discharge'!E$26:E$126,1),9))*('Step 6 Quality Check'!C789-INDEX('Step 4 Stage Discharge'!E$26:M$126,MATCH('Step 6 Quality Check'!C789,'Step 4 Stage Discharge'!E$26:E$126,1),1))/(INDEX('Step 4 Stage Discharge'!E$26:M$126,MATCH('Step 6 Quality Check'!C789,'Step 4 Stage Discharge'!E$26:E$126,1)+1,1)-INDEX('Step 4 Stage Discharge'!E$26:M$126,MATCH('Step 6 Quality Check'!C789,'Step 4 Stage Discharge'!E$26:E$126,1),1))</f>
        <v>4.3639431710317386E-3</v>
      </c>
      <c r="F789" s="218">
        <f t="shared" si="60"/>
        <v>0</v>
      </c>
      <c r="G789" s="218">
        <f t="shared" si="61"/>
        <v>0</v>
      </c>
    </row>
    <row r="790" spans="1:7">
      <c r="A790" s="217">
        <f t="shared" si="62"/>
        <v>3870</v>
      </c>
      <c r="B790" s="216">
        <f t="shared" si="63"/>
        <v>99.1</v>
      </c>
      <c r="C790" s="218">
        <f t="shared" si="64"/>
        <v>0</v>
      </c>
      <c r="D790" s="219">
        <f>INDEX('Step 4 Stage Discharge'!E$26:F$126,MATCH(C790,'Step 4 Stage Discharge'!E$26:E$126,1),2)+(INDEX('Step 4 Stage Discharge'!E$26:F$126,MATCH(C790,'Step 4 Stage Discharge'!E$26:E$126,1)+1,2)-INDEX('Step 4 Stage Discharge'!E$26:F$126,MATCH(C790,'Step 4 Stage Discharge'!E$26:E$126,1),2))*(C790-INDEX('Step 4 Stage Discharge'!E$26:F$126,MATCH(C790,'Step 4 Stage Discharge'!E$26:E$126,1),1))/(INDEX('Step 4 Stage Discharge'!E$26:F$126,MATCH(C790,'Step 4 Stage Discharge'!E$26:E$126,1)+1,1)-INDEX('Step 4 Stage Discharge'!E$26:F$126,MATCH(C790,'Step 4 Stage Discharge'!E$26:E$126,1),1))</f>
        <v>0</v>
      </c>
      <c r="E790" s="219">
        <f>INDEX('Step 4 Stage Discharge'!E$26:M$126,MATCH(C790,'Step 4 Stage Discharge'!E$26:E$126,1),9)+(INDEX('Step 4 Stage Discharge'!E$26:M$126,MATCH('Step 6 Quality Check'!C790,'Step 4 Stage Discharge'!E$26:E$126,1)+1,9)-INDEX('Step 4 Stage Discharge'!E$26:M$126,MATCH('Step 6 Quality Check'!C790,'Step 4 Stage Discharge'!E$26:E$126,1),9))*('Step 6 Quality Check'!C790-INDEX('Step 4 Stage Discharge'!E$26:M$126,MATCH('Step 6 Quality Check'!C790,'Step 4 Stage Discharge'!E$26:E$126,1),1))/(INDEX('Step 4 Stage Discharge'!E$26:M$126,MATCH('Step 6 Quality Check'!C790,'Step 4 Stage Discharge'!E$26:E$126,1)+1,1)-INDEX('Step 4 Stage Discharge'!E$26:M$126,MATCH('Step 6 Quality Check'!C790,'Step 4 Stage Discharge'!E$26:E$126,1),1))</f>
        <v>4.3639431710317386E-3</v>
      </c>
      <c r="F790" s="218">
        <f t="shared" si="60"/>
        <v>0</v>
      </c>
      <c r="G790" s="218">
        <f t="shared" si="61"/>
        <v>0</v>
      </c>
    </row>
    <row r="791" spans="1:7">
      <c r="A791" s="217">
        <f t="shared" si="62"/>
        <v>3875</v>
      </c>
      <c r="B791" s="216">
        <f t="shared" si="63"/>
        <v>99.1</v>
      </c>
      <c r="C791" s="218">
        <f t="shared" si="64"/>
        <v>0</v>
      </c>
      <c r="D791" s="219">
        <f>INDEX('Step 4 Stage Discharge'!E$26:F$126,MATCH(C791,'Step 4 Stage Discharge'!E$26:E$126,1),2)+(INDEX('Step 4 Stage Discharge'!E$26:F$126,MATCH(C791,'Step 4 Stage Discharge'!E$26:E$126,1)+1,2)-INDEX('Step 4 Stage Discharge'!E$26:F$126,MATCH(C791,'Step 4 Stage Discharge'!E$26:E$126,1),2))*(C791-INDEX('Step 4 Stage Discharge'!E$26:F$126,MATCH(C791,'Step 4 Stage Discharge'!E$26:E$126,1),1))/(INDEX('Step 4 Stage Discharge'!E$26:F$126,MATCH(C791,'Step 4 Stage Discharge'!E$26:E$126,1)+1,1)-INDEX('Step 4 Stage Discharge'!E$26:F$126,MATCH(C791,'Step 4 Stage Discharge'!E$26:E$126,1),1))</f>
        <v>0</v>
      </c>
      <c r="E791" s="219">
        <f>INDEX('Step 4 Stage Discharge'!E$26:M$126,MATCH(C791,'Step 4 Stage Discharge'!E$26:E$126,1),9)+(INDEX('Step 4 Stage Discharge'!E$26:M$126,MATCH('Step 6 Quality Check'!C791,'Step 4 Stage Discharge'!E$26:E$126,1)+1,9)-INDEX('Step 4 Stage Discharge'!E$26:M$126,MATCH('Step 6 Quality Check'!C791,'Step 4 Stage Discharge'!E$26:E$126,1),9))*('Step 6 Quality Check'!C791-INDEX('Step 4 Stage Discharge'!E$26:M$126,MATCH('Step 6 Quality Check'!C791,'Step 4 Stage Discharge'!E$26:E$126,1),1))/(INDEX('Step 4 Stage Discharge'!E$26:M$126,MATCH('Step 6 Quality Check'!C791,'Step 4 Stage Discharge'!E$26:E$126,1)+1,1)-INDEX('Step 4 Stage Discharge'!E$26:M$126,MATCH('Step 6 Quality Check'!C791,'Step 4 Stage Discharge'!E$26:E$126,1),1))</f>
        <v>4.3639431710317386E-3</v>
      </c>
      <c r="F791" s="218">
        <f t="shared" si="60"/>
        <v>0</v>
      </c>
      <c r="G791" s="218">
        <f t="shared" si="61"/>
        <v>0</v>
      </c>
    </row>
    <row r="792" spans="1:7">
      <c r="A792" s="217">
        <f t="shared" si="62"/>
        <v>3880</v>
      </c>
      <c r="B792" s="216">
        <f t="shared" si="63"/>
        <v>99.1</v>
      </c>
      <c r="C792" s="218">
        <f t="shared" si="64"/>
        <v>0</v>
      </c>
      <c r="D792" s="219">
        <f>INDEX('Step 4 Stage Discharge'!E$26:F$126,MATCH(C792,'Step 4 Stage Discharge'!E$26:E$126,1),2)+(INDEX('Step 4 Stage Discharge'!E$26:F$126,MATCH(C792,'Step 4 Stage Discharge'!E$26:E$126,1)+1,2)-INDEX('Step 4 Stage Discharge'!E$26:F$126,MATCH(C792,'Step 4 Stage Discharge'!E$26:E$126,1),2))*(C792-INDEX('Step 4 Stage Discharge'!E$26:F$126,MATCH(C792,'Step 4 Stage Discharge'!E$26:E$126,1),1))/(INDEX('Step 4 Stage Discharge'!E$26:F$126,MATCH(C792,'Step 4 Stage Discharge'!E$26:E$126,1)+1,1)-INDEX('Step 4 Stage Discharge'!E$26:F$126,MATCH(C792,'Step 4 Stage Discharge'!E$26:E$126,1),1))</f>
        <v>0</v>
      </c>
      <c r="E792" s="219">
        <f>INDEX('Step 4 Stage Discharge'!E$26:M$126,MATCH(C792,'Step 4 Stage Discharge'!E$26:E$126,1),9)+(INDEX('Step 4 Stage Discharge'!E$26:M$126,MATCH('Step 6 Quality Check'!C792,'Step 4 Stage Discharge'!E$26:E$126,1)+1,9)-INDEX('Step 4 Stage Discharge'!E$26:M$126,MATCH('Step 6 Quality Check'!C792,'Step 4 Stage Discharge'!E$26:E$126,1),9))*('Step 6 Quality Check'!C792-INDEX('Step 4 Stage Discharge'!E$26:M$126,MATCH('Step 6 Quality Check'!C792,'Step 4 Stage Discharge'!E$26:E$126,1),1))/(INDEX('Step 4 Stage Discharge'!E$26:M$126,MATCH('Step 6 Quality Check'!C792,'Step 4 Stage Discharge'!E$26:E$126,1)+1,1)-INDEX('Step 4 Stage Discharge'!E$26:M$126,MATCH('Step 6 Quality Check'!C792,'Step 4 Stage Discharge'!E$26:E$126,1),1))</f>
        <v>4.3639431710317386E-3</v>
      </c>
      <c r="F792" s="218">
        <f t="shared" si="60"/>
        <v>0</v>
      </c>
      <c r="G792" s="218">
        <f t="shared" si="61"/>
        <v>0</v>
      </c>
    </row>
    <row r="793" spans="1:7">
      <c r="A793" s="217">
        <f t="shared" si="62"/>
        <v>3885</v>
      </c>
      <c r="B793" s="216">
        <f t="shared" si="63"/>
        <v>99.1</v>
      </c>
      <c r="C793" s="218">
        <f t="shared" si="64"/>
        <v>0</v>
      </c>
      <c r="D793" s="219">
        <f>INDEX('Step 4 Stage Discharge'!E$26:F$126,MATCH(C793,'Step 4 Stage Discharge'!E$26:E$126,1),2)+(INDEX('Step 4 Stage Discharge'!E$26:F$126,MATCH(C793,'Step 4 Stage Discharge'!E$26:E$126,1)+1,2)-INDEX('Step 4 Stage Discharge'!E$26:F$126,MATCH(C793,'Step 4 Stage Discharge'!E$26:E$126,1),2))*(C793-INDEX('Step 4 Stage Discharge'!E$26:F$126,MATCH(C793,'Step 4 Stage Discharge'!E$26:E$126,1),1))/(INDEX('Step 4 Stage Discharge'!E$26:F$126,MATCH(C793,'Step 4 Stage Discharge'!E$26:E$126,1)+1,1)-INDEX('Step 4 Stage Discharge'!E$26:F$126,MATCH(C793,'Step 4 Stage Discharge'!E$26:E$126,1),1))</f>
        <v>0</v>
      </c>
      <c r="E793" s="219">
        <f>INDEX('Step 4 Stage Discharge'!E$26:M$126,MATCH(C793,'Step 4 Stage Discharge'!E$26:E$126,1),9)+(INDEX('Step 4 Stage Discharge'!E$26:M$126,MATCH('Step 6 Quality Check'!C793,'Step 4 Stage Discharge'!E$26:E$126,1)+1,9)-INDEX('Step 4 Stage Discharge'!E$26:M$126,MATCH('Step 6 Quality Check'!C793,'Step 4 Stage Discharge'!E$26:E$126,1),9))*('Step 6 Quality Check'!C793-INDEX('Step 4 Stage Discharge'!E$26:M$126,MATCH('Step 6 Quality Check'!C793,'Step 4 Stage Discharge'!E$26:E$126,1),1))/(INDEX('Step 4 Stage Discharge'!E$26:M$126,MATCH('Step 6 Quality Check'!C793,'Step 4 Stage Discharge'!E$26:E$126,1)+1,1)-INDEX('Step 4 Stage Discharge'!E$26:M$126,MATCH('Step 6 Quality Check'!C793,'Step 4 Stage Discharge'!E$26:E$126,1),1))</f>
        <v>4.3639431710317386E-3</v>
      </c>
      <c r="F793" s="218">
        <f t="shared" si="60"/>
        <v>0</v>
      </c>
      <c r="G793" s="218">
        <f t="shared" si="61"/>
        <v>0</v>
      </c>
    </row>
    <row r="794" spans="1:7">
      <c r="A794" s="217">
        <f t="shared" si="62"/>
        <v>3890</v>
      </c>
      <c r="B794" s="216">
        <f t="shared" si="63"/>
        <v>99.1</v>
      </c>
      <c r="C794" s="218">
        <f t="shared" si="64"/>
        <v>0</v>
      </c>
      <c r="D794" s="219">
        <f>INDEX('Step 4 Stage Discharge'!E$26:F$126,MATCH(C794,'Step 4 Stage Discharge'!E$26:E$126,1),2)+(INDEX('Step 4 Stage Discharge'!E$26:F$126,MATCH(C794,'Step 4 Stage Discharge'!E$26:E$126,1)+1,2)-INDEX('Step 4 Stage Discharge'!E$26:F$126,MATCH(C794,'Step 4 Stage Discharge'!E$26:E$126,1),2))*(C794-INDEX('Step 4 Stage Discharge'!E$26:F$126,MATCH(C794,'Step 4 Stage Discharge'!E$26:E$126,1),1))/(INDEX('Step 4 Stage Discharge'!E$26:F$126,MATCH(C794,'Step 4 Stage Discharge'!E$26:E$126,1)+1,1)-INDEX('Step 4 Stage Discharge'!E$26:F$126,MATCH(C794,'Step 4 Stage Discharge'!E$26:E$126,1),1))</f>
        <v>0</v>
      </c>
      <c r="E794" s="219">
        <f>INDEX('Step 4 Stage Discharge'!E$26:M$126,MATCH(C794,'Step 4 Stage Discharge'!E$26:E$126,1),9)+(INDEX('Step 4 Stage Discharge'!E$26:M$126,MATCH('Step 6 Quality Check'!C794,'Step 4 Stage Discharge'!E$26:E$126,1)+1,9)-INDEX('Step 4 Stage Discharge'!E$26:M$126,MATCH('Step 6 Quality Check'!C794,'Step 4 Stage Discharge'!E$26:E$126,1),9))*('Step 6 Quality Check'!C794-INDEX('Step 4 Stage Discharge'!E$26:M$126,MATCH('Step 6 Quality Check'!C794,'Step 4 Stage Discharge'!E$26:E$126,1),1))/(INDEX('Step 4 Stage Discharge'!E$26:M$126,MATCH('Step 6 Quality Check'!C794,'Step 4 Stage Discharge'!E$26:E$126,1)+1,1)-INDEX('Step 4 Stage Discharge'!E$26:M$126,MATCH('Step 6 Quality Check'!C794,'Step 4 Stage Discharge'!E$26:E$126,1),1))</f>
        <v>4.3639431710317386E-3</v>
      </c>
      <c r="F794" s="218">
        <f t="shared" si="60"/>
        <v>0</v>
      </c>
      <c r="G794" s="218">
        <f t="shared" si="61"/>
        <v>0</v>
      </c>
    </row>
    <row r="795" spans="1:7">
      <c r="A795" s="217">
        <f t="shared" si="62"/>
        <v>3895</v>
      </c>
      <c r="B795" s="216">
        <f t="shared" si="63"/>
        <v>99.1</v>
      </c>
      <c r="C795" s="218">
        <f t="shared" si="64"/>
        <v>0</v>
      </c>
      <c r="D795" s="219">
        <f>INDEX('Step 4 Stage Discharge'!E$26:F$126,MATCH(C795,'Step 4 Stage Discharge'!E$26:E$126,1),2)+(INDEX('Step 4 Stage Discharge'!E$26:F$126,MATCH(C795,'Step 4 Stage Discharge'!E$26:E$126,1)+1,2)-INDEX('Step 4 Stage Discharge'!E$26:F$126,MATCH(C795,'Step 4 Stage Discharge'!E$26:E$126,1),2))*(C795-INDEX('Step 4 Stage Discharge'!E$26:F$126,MATCH(C795,'Step 4 Stage Discharge'!E$26:E$126,1),1))/(INDEX('Step 4 Stage Discharge'!E$26:F$126,MATCH(C795,'Step 4 Stage Discharge'!E$26:E$126,1)+1,1)-INDEX('Step 4 Stage Discharge'!E$26:F$126,MATCH(C795,'Step 4 Stage Discharge'!E$26:E$126,1),1))</f>
        <v>0</v>
      </c>
      <c r="E795" s="219">
        <f>INDEX('Step 4 Stage Discharge'!E$26:M$126,MATCH(C795,'Step 4 Stage Discharge'!E$26:E$126,1),9)+(INDEX('Step 4 Stage Discharge'!E$26:M$126,MATCH('Step 6 Quality Check'!C795,'Step 4 Stage Discharge'!E$26:E$126,1)+1,9)-INDEX('Step 4 Stage Discharge'!E$26:M$126,MATCH('Step 6 Quality Check'!C795,'Step 4 Stage Discharge'!E$26:E$126,1),9))*('Step 6 Quality Check'!C795-INDEX('Step 4 Stage Discharge'!E$26:M$126,MATCH('Step 6 Quality Check'!C795,'Step 4 Stage Discharge'!E$26:E$126,1),1))/(INDEX('Step 4 Stage Discharge'!E$26:M$126,MATCH('Step 6 Quality Check'!C795,'Step 4 Stage Discharge'!E$26:E$126,1)+1,1)-INDEX('Step 4 Stage Discharge'!E$26:M$126,MATCH('Step 6 Quality Check'!C795,'Step 4 Stage Discharge'!E$26:E$126,1),1))</f>
        <v>4.3639431710317386E-3</v>
      </c>
      <c r="F795" s="218">
        <f t="shared" si="60"/>
        <v>0</v>
      </c>
      <c r="G795" s="218">
        <f t="shared" si="61"/>
        <v>0</v>
      </c>
    </row>
    <row r="796" spans="1:7">
      <c r="A796" s="217">
        <f t="shared" si="62"/>
        <v>3900</v>
      </c>
      <c r="B796" s="216">
        <f t="shared" si="63"/>
        <v>99.1</v>
      </c>
      <c r="C796" s="218">
        <f t="shared" si="64"/>
        <v>0</v>
      </c>
      <c r="D796" s="219">
        <f>INDEX('Step 4 Stage Discharge'!E$26:F$126,MATCH(C796,'Step 4 Stage Discharge'!E$26:E$126,1),2)+(INDEX('Step 4 Stage Discharge'!E$26:F$126,MATCH(C796,'Step 4 Stage Discharge'!E$26:E$126,1)+1,2)-INDEX('Step 4 Stage Discharge'!E$26:F$126,MATCH(C796,'Step 4 Stage Discharge'!E$26:E$126,1),2))*(C796-INDEX('Step 4 Stage Discharge'!E$26:F$126,MATCH(C796,'Step 4 Stage Discharge'!E$26:E$126,1),1))/(INDEX('Step 4 Stage Discharge'!E$26:F$126,MATCH(C796,'Step 4 Stage Discharge'!E$26:E$126,1)+1,1)-INDEX('Step 4 Stage Discharge'!E$26:F$126,MATCH(C796,'Step 4 Stage Discharge'!E$26:E$126,1),1))</f>
        <v>0</v>
      </c>
      <c r="E796" s="219">
        <f>INDEX('Step 4 Stage Discharge'!E$26:M$126,MATCH(C796,'Step 4 Stage Discharge'!E$26:E$126,1),9)+(INDEX('Step 4 Stage Discharge'!E$26:M$126,MATCH('Step 6 Quality Check'!C796,'Step 4 Stage Discharge'!E$26:E$126,1)+1,9)-INDEX('Step 4 Stage Discharge'!E$26:M$126,MATCH('Step 6 Quality Check'!C796,'Step 4 Stage Discharge'!E$26:E$126,1),9))*('Step 6 Quality Check'!C796-INDEX('Step 4 Stage Discharge'!E$26:M$126,MATCH('Step 6 Quality Check'!C796,'Step 4 Stage Discharge'!E$26:E$126,1),1))/(INDEX('Step 4 Stage Discharge'!E$26:M$126,MATCH('Step 6 Quality Check'!C796,'Step 4 Stage Discharge'!E$26:E$126,1)+1,1)-INDEX('Step 4 Stage Discharge'!E$26:M$126,MATCH('Step 6 Quality Check'!C796,'Step 4 Stage Discharge'!E$26:E$126,1),1))</f>
        <v>4.3639431710317386E-3</v>
      </c>
      <c r="F796" s="218">
        <f t="shared" si="60"/>
        <v>0</v>
      </c>
      <c r="G796" s="218">
        <f t="shared" si="61"/>
        <v>0</v>
      </c>
    </row>
    <row r="797" spans="1:7">
      <c r="A797" s="217">
        <f t="shared" si="62"/>
        <v>3905</v>
      </c>
      <c r="B797" s="216">
        <f t="shared" si="63"/>
        <v>99.1</v>
      </c>
      <c r="C797" s="218">
        <f t="shared" si="64"/>
        <v>0</v>
      </c>
      <c r="D797" s="219">
        <f>INDEX('Step 4 Stage Discharge'!E$26:F$126,MATCH(C797,'Step 4 Stage Discharge'!E$26:E$126,1),2)+(INDEX('Step 4 Stage Discharge'!E$26:F$126,MATCH(C797,'Step 4 Stage Discharge'!E$26:E$126,1)+1,2)-INDEX('Step 4 Stage Discharge'!E$26:F$126,MATCH(C797,'Step 4 Stage Discharge'!E$26:E$126,1),2))*(C797-INDEX('Step 4 Stage Discharge'!E$26:F$126,MATCH(C797,'Step 4 Stage Discharge'!E$26:E$126,1),1))/(INDEX('Step 4 Stage Discharge'!E$26:F$126,MATCH(C797,'Step 4 Stage Discharge'!E$26:E$126,1)+1,1)-INDEX('Step 4 Stage Discharge'!E$26:F$126,MATCH(C797,'Step 4 Stage Discharge'!E$26:E$126,1),1))</f>
        <v>0</v>
      </c>
      <c r="E797" s="219">
        <f>INDEX('Step 4 Stage Discharge'!E$26:M$126,MATCH(C797,'Step 4 Stage Discharge'!E$26:E$126,1),9)+(INDEX('Step 4 Stage Discharge'!E$26:M$126,MATCH('Step 6 Quality Check'!C797,'Step 4 Stage Discharge'!E$26:E$126,1)+1,9)-INDEX('Step 4 Stage Discharge'!E$26:M$126,MATCH('Step 6 Quality Check'!C797,'Step 4 Stage Discharge'!E$26:E$126,1),9))*('Step 6 Quality Check'!C797-INDEX('Step 4 Stage Discharge'!E$26:M$126,MATCH('Step 6 Quality Check'!C797,'Step 4 Stage Discharge'!E$26:E$126,1),1))/(INDEX('Step 4 Stage Discharge'!E$26:M$126,MATCH('Step 6 Quality Check'!C797,'Step 4 Stage Discharge'!E$26:E$126,1)+1,1)-INDEX('Step 4 Stage Discharge'!E$26:M$126,MATCH('Step 6 Quality Check'!C797,'Step 4 Stage Discharge'!E$26:E$126,1),1))</f>
        <v>4.3639431710317386E-3</v>
      </c>
      <c r="F797" s="218">
        <f t="shared" si="60"/>
        <v>0</v>
      </c>
      <c r="G797" s="218">
        <f t="shared" si="61"/>
        <v>0</v>
      </c>
    </row>
    <row r="798" spans="1:7">
      <c r="A798" s="217">
        <f t="shared" si="62"/>
        <v>3910</v>
      </c>
      <c r="B798" s="216">
        <f t="shared" si="63"/>
        <v>99.1</v>
      </c>
      <c r="C798" s="218">
        <f t="shared" si="64"/>
        <v>0</v>
      </c>
      <c r="D798" s="219">
        <f>INDEX('Step 4 Stage Discharge'!E$26:F$126,MATCH(C798,'Step 4 Stage Discharge'!E$26:E$126,1),2)+(INDEX('Step 4 Stage Discharge'!E$26:F$126,MATCH(C798,'Step 4 Stage Discharge'!E$26:E$126,1)+1,2)-INDEX('Step 4 Stage Discharge'!E$26:F$126,MATCH(C798,'Step 4 Stage Discharge'!E$26:E$126,1),2))*(C798-INDEX('Step 4 Stage Discharge'!E$26:F$126,MATCH(C798,'Step 4 Stage Discharge'!E$26:E$126,1),1))/(INDEX('Step 4 Stage Discharge'!E$26:F$126,MATCH(C798,'Step 4 Stage Discharge'!E$26:E$126,1)+1,1)-INDEX('Step 4 Stage Discharge'!E$26:F$126,MATCH(C798,'Step 4 Stage Discharge'!E$26:E$126,1),1))</f>
        <v>0</v>
      </c>
      <c r="E798" s="219">
        <f>INDEX('Step 4 Stage Discharge'!E$26:M$126,MATCH(C798,'Step 4 Stage Discharge'!E$26:E$126,1),9)+(INDEX('Step 4 Stage Discharge'!E$26:M$126,MATCH('Step 6 Quality Check'!C798,'Step 4 Stage Discharge'!E$26:E$126,1)+1,9)-INDEX('Step 4 Stage Discharge'!E$26:M$126,MATCH('Step 6 Quality Check'!C798,'Step 4 Stage Discharge'!E$26:E$126,1),9))*('Step 6 Quality Check'!C798-INDEX('Step 4 Stage Discharge'!E$26:M$126,MATCH('Step 6 Quality Check'!C798,'Step 4 Stage Discharge'!E$26:E$126,1),1))/(INDEX('Step 4 Stage Discharge'!E$26:M$126,MATCH('Step 6 Quality Check'!C798,'Step 4 Stage Discharge'!E$26:E$126,1)+1,1)-INDEX('Step 4 Stage Discharge'!E$26:M$126,MATCH('Step 6 Quality Check'!C798,'Step 4 Stage Discharge'!E$26:E$126,1),1))</f>
        <v>4.3639431710317386E-3</v>
      </c>
      <c r="F798" s="218">
        <f t="shared" si="60"/>
        <v>0</v>
      </c>
      <c r="G798" s="218">
        <f t="shared" si="61"/>
        <v>0</v>
      </c>
    </row>
    <row r="799" spans="1:7">
      <c r="A799" s="217">
        <f t="shared" si="62"/>
        <v>3915</v>
      </c>
      <c r="B799" s="216">
        <f t="shared" si="63"/>
        <v>99.1</v>
      </c>
      <c r="C799" s="218">
        <f t="shared" si="64"/>
        <v>0</v>
      </c>
      <c r="D799" s="219">
        <f>INDEX('Step 4 Stage Discharge'!E$26:F$126,MATCH(C799,'Step 4 Stage Discharge'!E$26:E$126,1),2)+(INDEX('Step 4 Stage Discharge'!E$26:F$126,MATCH(C799,'Step 4 Stage Discharge'!E$26:E$126,1)+1,2)-INDEX('Step 4 Stage Discharge'!E$26:F$126,MATCH(C799,'Step 4 Stage Discharge'!E$26:E$126,1),2))*(C799-INDEX('Step 4 Stage Discharge'!E$26:F$126,MATCH(C799,'Step 4 Stage Discharge'!E$26:E$126,1),1))/(INDEX('Step 4 Stage Discharge'!E$26:F$126,MATCH(C799,'Step 4 Stage Discharge'!E$26:E$126,1)+1,1)-INDEX('Step 4 Stage Discharge'!E$26:F$126,MATCH(C799,'Step 4 Stage Discharge'!E$26:E$126,1),1))</f>
        <v>0</v>
      </c>
      <c r="E799" s="219">
        <f>INDEX('Step 4 Stage Discharge'!E$26:M$126,MATCH(C799,'Step 4 Stage Discharge'!E$26:E$126,1),9)+(INDEX('Step 4 Stage Discharge'!E$26:M$126,MATCH('Step 6 Quality Check'!C799,'Step 4 Stage Discharge'!E$26:E$126,1)+1,9)-INDEX('Step 4 Stage Discharge'!E$26:M$126,MATCH('Step 6 Quality Check'!C799,'Step 4 Stage Discharge'!E$26:E$126,1),9))*('Step 6 Quality Check'!C799-INDEX('Step 4 Stage Discharge'!E$26:M$126,MATCH('Step 6 Quality Check'!C799,'Step 4 Stage Discharge'!E$26:E$126,1),1))/(INDEX('Step 4 Stage Discharge'!E$26:M$126,MATCH('Step 6 Quality Check'!C799,'Step 4 Stage Discharge'!E$26:E$126,1)+1,1)-INDEX('Step 4 Stage Discharge'!E$26:M$126,MATCH('Step 6 Quality Check'!C799,'Step 4 Stage Discharge'!E$26:E$126,1),1))</f>
        <v>4.3639431710317386E-3</v>
      </c>
      <c r="F799" s="218">
        <f t="shared" si="60"/>
        <v>0</v>
      </c>
      <c r="G799" s="218">
        <f t="shared" si="61"/>
        <v>0</v>
      </c>
    </row>
    <row r="800" spans="1:7">
      <c r="A800" s="217">
        <f t="shared" si="62"/>
        <v>3920</v>
      </c>
      <c r="B800" s="216">
        <f t="shared" si="63"/>
        <v>99.1</v>
      </c>
      <c r="C800" s="218">
        <f t="shared" si="64"/>
        <v>0</v>
      </c>
      <c r="D800" s="219">
        <f>INDEX('Step 4 Stage Discharge'!E$26:F$126,MATCH(C800,'Step 4 Stage Discharge'!E$26:E$126,1),2)+(INDEX('Step 4 Stage Discharge'!E$26:F$126,MATCH(C800,'Step 4 Stage Discharge'!E$26:E$126,1)+1,2)-INDEX('Step 4 Stage Discharge'!E$26:F$126,MATCH(C800,'Step 4 Stage Discharge'!E$26:E$126,1),2))*(C800-INDEX('Step 4 Stage Discharge'!E$26:F$126,MATCH(C800,'Step 4 Stage Discharge'!E$26:E$126,1),1))/(INDEX('Step 4 Stage Discharge'!E$26:F$126,MATCH(C800,'Step 4 Stage Discharge'!E$26:E$126,1)+1,1)-INDEX('Step 4 Stage Discharge'!E$26:F$126,MATCH(C800,'Step 4 Stage Discharge'!E$26:E$126,1),1))</f>
        <v>0</v>
      </c>
      <c r="E800" s="219">
        <f>INDEX('Step 4 Stage Discharge'!E$26:M$126,MATCH(C800,'Step 4 Stage Discharge'!E$26:E$126,1),9)+(INDEX('Step 4 Stage Discharge'!E$26:M$126,MATCH('Step 6 Quality Check'!C800,'Step 4 Stage Discharge'!E$26:E$126,1)+1,9)-INDEX('Step 4 Stage Discharge'!E$26:M$126,MATCH('Step 6 Quality Check'!C800,'Step 4 Stage Discharge'!E$26:E$126,1),9))*('Step 6 Quality Check'!C800-INDEX('Step 4 Stage Discharge'!E$26:M$126,MATCH('Step 6 Quality Check'!C800,'Step 4 Stage Discharge'!E$26:E$126,1),1))/(INDEX('Step 4 Stage Discharge'!E$26:M$126,MATCH('Step 6 Quality Check'!C800,'Step 4 Stage Discharge'!E$26:E$126,1)+1,1)-INDEX('Step 4 Stage Discharge'!E$26:M$126,MATCH('Step 6 Quality Check'!C800,'Step 4 Stage Discharge'!E$26:E$126,1),1))</f>
        <v>4.3639431710317386E-3</v>
      </c>
      <c r="F800" s="218">
        <f t="shared" si="60"/>
        <v>0</v>
      </c>
      <c r="G800" s="218">
        <f t="shared" si="61"/>
        <v>0</v>
      </c>
    </row>
    <row r="801" spans="1:7">
      <c r="A801" s="217">
        <f t="shared" si="62"/>
        <v>3925</v>
      </c>
      <c r="B801" s="216">
        <f t="shared" si="63"/>
        <v>99.1</v>
      </c>
      <c r="C801" s="218">
        <f t="shared" si="64"/>
        <v>0</v>
      </c>
      <c r="D801" s="219">
        <f>INDEX('Step 4 Stage Discharge'!E$26:F$126,MATCH(C801,'Step 4 Stage Discharge'!E$26:E$126,1),2)+(INDEX('Step 4 Stage Discharge'!E$26:F$126,MATCH(C801,'Step 4 Stage Discharge'!E$26:E$126,1)+1,2)-INDEX('Step 4 Stage Discharge'!E$26:F$126,MATCH(C801,'Step 4 Stage Discharge'!E$26:E$126,1),2))*(C801-INDEX('Step 4 Stage Discharge'!E$26:F$126,MATCH(C801,'Step 4 Stage Discharge'!E$26:E$126,1),1))/(INDEX('Step 4 Stage Discharge'!E$26:F$126,MATCH(C801,'Step 4 Stage Discharge'!E$26:E$126,1)+1,1)-INDEX('Step 4 Stage Discharge'!E$26:F$126,MATCH(C801,'Step 4 Stage Discharge'!E$26:E$126,1),1))</f>
        <v>0</v>
      </c>
      <c r="E801" s="219">
        <f>INDEX('Step 4 Stage Discharge'!E$26:M$126,MATCH(C801,'Step 4 Stage Discharge'!E$26:E$126,1),9)+(INDEX('Step 4 Stage Discharge'!E$26:M$126,MATCH('Step 6 Quality Check'!C801,'Step 4 Stage Discharge'!E$26:E$126,1)+1,9)-INDEX('Step 4 Stage Discharge'!E$26:M$126,MATCH('Step 6 Quality Check'!C801,'Step 4 Stage Discharge'!E$26:E$126,1),9))*('Step 6 Quality Check'!C801-INDEX('Step 4 Stage Discharge'!E$26:M$126,MATCH('Step 6 Quality Check'!C801,'Step 4 Stage Discharge'!E$26:E$126,1),1))/(INDEX('Step 4 Stage Discharge'!E$26:M$126,MATCH('Step 6 Quality Check'!C801,'Step 4 Stage Discharge'!E$26:E$126,1)+1,1)-INDEX('Step 4 Stage Discharge'!E$26:M$126,MATCH('Step 6 Quality Check'!C801,'Step 4 Stage Discharge'!E$26:E$126,1),1))</f>
        <v>4.3639431710317386E-3</v>
      </c>
      <c r="F801" s="218">
        <f t="shared" si="60"/>
        <v>0</v>
      </c>
      <c r="G801" s="218">
        <f t="shared" si="61"/>
        <v>0</v>
      </c>
    </row>
    <row r="802" spans="1:7">
      <c r="A802" s="217">
        <f t="shared" si="62"/>
        <v>3930</v>
      </c>
      <c r="B802" s="216">
        <f t="shared" si="63"/>
        <v>99.1</v>
      </c>
      <c r="C802" s="218">
        <f t="shared" si="64"/>
        <v>0</v>
      </c>
      <c r="D802" s="219">
        <f>INDEX('Step 4 Stage Discharge'!E$26:F$126,MATCH(C802,'Step 4 Stage Discharge'!E$26:E$126,1),2)+(INDEX('Step 4 Stage Discharge'!E$26:F$126,MATCH(C802,'Step 4 Stage Discharge'!E$26:E$126,1)+1,2)-INDEX('Step 4 Stage Discharge'!E$26:F$126,MATCH(C802,'Step 4 Stage Discharge'!E$26:E$126,1),2))*(C802-INDEX('Step 4 Stage Discharge'!E$26:F$126,MATCH(C802,'Step 4 Stage Discharge'!E$26:E$126,1),1))/(INDEX('Step 4 Stage Discharge'!E$26:F$126,MATCH(C802,'Step 4 Stage Discharge'!E$26:E$126,1)+1,1)-INDEX('Step 4 Stage Discharge'!E$26:F$126,MATCH(C802,'Step 4 Stage Discharge'!E$26:E$126,1),1))</f>
        <v>0</v>
      </c>
      <c r="E802" s="219">
        <f>INDEX('Step 4 Stage Discharge'!E$26:M$126,MATCH(C802,'Step 4 Stage Discharge'!E$26:E$126,1),9)+(INDEX('Step 4 Stage Discharge'!E$26:M$126,MATCH('Step 6 Quality Check'!C802,'Step 4 Stage Discharge'!E$26:E$126,1)+1,9)-INDEX('Step 4 Stage Discharge'!E$26:M$126,MATCH('Step 6 Quality Check'!C802,'Step 4 Stage Discharge'!E$26:E$126,1),9))*('Step 6 Quality Check'!C802-INDEX('Step 4 Stage Discharge'!E$26:M$126,MATCH('Step 6 Quality Check'!C802,'Step 4 Stage Discharge'!E$26:E$126,1),1))/(INDEX('Step 4 Stage Discharge'!E$26:M$126,MATCH('Step 6 Quality Check'!C802,'Step 4 Stage Discharge'!E$26:E$126,1)+1,1)-INDEX('Step 4 Stage Discharge'!E$26:M$126,MATCH('Step 6 Quality Check'!C802,'Step 4 Stage Discharge'!E$26:E$126,1),1))</f>
        <v>4.3639431710317386E-3</v>
      </c>
      <c r="F802" s="218">
        <f t="shared" si="60"/>
        <v>0</v>
      </c>
      <c r="G802" s="218">
        <f t="shared" si="61"/>
        <v>0</v>
      </c>
    </row>
    <row r="803" spans="1:7">
      <c r="A803" s="217">
        <f t="shared" si="62"/>
        <v>3935</v>
      </c>
      <c r="B803" s="216">
        <f t="shared" si="63"/>
        <v>99.1</v>
      </c>
      <c r="C803" s="218">
        <f t="shared" si="64"/>
        <v>0</v>
      </c>
      <c r="D803" s="219">
        <f>INDEX('Step 4 Stage Discharge'!E$26:F$126,MATCH(C803,'Step 4 Stage Discharge'!E$26:E$126,1),2)+(INDEX('Step 4 Stage Discharge'!E$26:F$126,MATCH(C803,'Step 4 Stage Discharge'!E$26:E$126,1)+1,2)-INDEX('Step 4 Stage Discharge'!E$26:F$126,MATCH(C803,'Step 4 Stage Discharge'!E$26:E$126,1),2))*(C803-INDEX('Step 4 Stage Discharge'!E$26:F$126,MATCH(C803,'Step 4 Stage Discharge'!E$26:E$126,1),1))/(INDEX('Step 4 Stage Discharge'!E$26:F$126,MATCH(C803,'Step 4 Stage Discharge'!E$26:E$126,1)+1,1)-INDEX('Step 4 Stage Discharge'!E$26:F$126,MATCH(C803,'Step 4 Stage Discharge'!E$26:E$126,1),1))</f>
        <v>0</v>
      </c>
      <c r="E803" s="219">
        <f>INDEX('Step 4 Stage Discharge'!E$26:M$126,MATCH(C803,'Step 4 Stage Discharge'!E$26:E$126,1),9)+(INDEX('Step 4 Stage Discharge'!E$26:M$126,MATCH('Step 6 Quality Check'!C803,'Step 4 Stage Discharge'!E$26:E$126,1)+1,9)-INDEX('Step 4 Stage Discharge'!E$26:M$126,MATCH('Step 6 Quality Check'!C803,'Step 4 Stage Discharge'!E$26:E$126,1),9))*('Step 6 Quality Check'!C803-INDEX('Step 4 Stage Discharge'!E$26:M$126,MATCH('Step 6 Quality Check'!C803,'Step 4 Stage Discharge'!E$26:E$126,1),1))/(INDEX('Step 4 Stage Discharge'!E$26:M$126,MATCH('Step 6 Quality Check'!C803,'Step 4 Stage Discharge'!E$26:E$126,1)+1,1)-INDEX('Step 4 Stage Discharge'!E$26:M$126,MATCH('Step 6 Quality Check'!C803,'Step 4 Stage Discharge'!E$26:E$126,1),1))</f>
        <v>4.3639431710317386E-3</v>
      </c>
      <c r="F803" s="218">
        <f t="shared" si="60"/>
        <v>0</v>
      </c>
      <c r="G803" s="218">
        <f t="shared" si="61"/>
        <v>0</v>
      </c>
    </row>
    <row r="804" spans="1:7">
      <c r="A804" s="217">
        <f t="shared" si="62"/>
        <v>3940</v>
      </c>
      <c r="B804" s="216">
        <f t="shared" si="63"/>
        <v>99.1</v>
      </c>
      <c r="C804" s="218">
        <f t="shared" si="64"/>
        <v>0</v>
      </c>
      <c r="D804" s="219">
        <f>INDEX('Step 4 Stage Discharge'!E$26:F$126,MATCH(C804,'Step 4 Stage Discharge'!E$26:E$126,1),2)+(INDEX('Step 4 Stage Discharge'!E$26:F$126,MATCH(C804,'Step 4 Stage Discharge'!E$26:E$126,1)+1,2)-INDEX('Step 4 Stage Discharge'!E$26:F$126,MATCH(C804,'Step 4 Stage Discharge'!E$26:E$126,1),2))*(C804-INDEX('Step 4 Stage Discharge'!E$26:F$126,MATCH(C804,'Step 4 Stage Discharge'!E$26:E$126,1),1))/(INDEX('Step 4 Stage Discharge'!E$26:F$126,MATCH(C804,'Step 4 Stage Discharge'!E$26:E$126,1)+1,1)-INDEX('Step 4 Stage Discharge'!E$26:F$126,MATCH(C804,'Step 4 Stage Discharge'!E$26:E$126,1),1))</f>
        <v>0</v>
      </c>
      <c r="E804" s="219">
        <f>INDEX('Step 4 Stage Discharge'!E$26:M$126,MATCH(C804,'Step 4 Stage Discharge'!E$26:E$126,1),9)+(INDEX('Step 4 Stage Discharge'!E$26:M$126,MATCH('Step 6 Quality Check'!C804,'Step 4 Stage Discharge'!E$26:E$126,1)+1,9)-INDEX('Step 4 Stage Discharge'!E$26:M$126,MATCH('Step 6 Quality Check'!C804,'Step 4 Stage Discharge'!E$26:E$126,1),9))*('Step 6 Quality Check'!C804-INDEX('Step 4 Stage Discharge'!E$26:M$126,MATCH('Step 6 Quality Check'!C804,'Step 4 Stage Discharge'!E$26:E$126,1),1))/(INDEX('Step 4 Stage Discharge'!E$26:M$126,MATCH('Step 6 Quality Check'!C804,'Step 4 Stage Discharge'!E$26:E$126,1)+1,1)-INDEX('Step 4 Stage Discharge'!E$26:M$126,MATCH('Step 6 Quality Check'!C804,'Step 4 Stage Discharge'!E$26:E$126,1),1))</f>
        <v>4.3639431710317386E-3</v>
      </c>
      <c r="F804" s="218">
        <f t="shared" si="60"/>
        <v>0</v>
      </c>
      <c r="G804" s="218">
        <f t="shared" si="61"/>
        <v>0</v>
      </c>
    </row>
    <row r="805" spans="1:7">
      <c r="A805" s="217">
        <f t="shared" si="62"/>
        <v>3945</v>
      </c>
      <c r="B805" s="216">
        <f t="shared" si="63"/>
        <v>99.1</v>
      </c>
      <c r="C805" s="218">
        <f t="shared" si="64"/>
        <v>0</v>
      </c>
      <c r="D805" s="219">
        <f>INDEX('Step 4 Stage Discharge'!E$26:F$126,MATCH(C805,'Step 4 Stage Discharge'!E$26:E$126,1),2)+(INDEX('Step 4 Stage Discharge'!E$26:F$126,MATCH(C805,'Step 4 Stage Discharge'!E$26:E$126,1)+1,2)-INDEX('Step 4 Stage Discharge'!E$26:F$126,MATCH(C805,'Step 4 Stage Discharge'!E$26:E$126,1),2))*(C805-INDEX('Step 4 Stage Discharge'!E$26:F$126,MATCH(C805,'Step 4 Stage Discharge'!E$26:E$126,1),1))/(INDEX('Step 4 Stage Discharge'!E$26:F$126,MATCH(C805,'Step 4 Stage Discharge'!E$26:E$126,1)+1,1)-INDEX('Step 4 Stage Discharge'!E$26:F$126,MATCH(C805,'Step 4 Stage Discharge'!E$26:E$126,1),1))</f>
        <v>0</v>
      </c>
      <c r="E805" s="219">
        <f>INDEX('Step 4 Stage Discharge'!E$26:M$126,MATCH(C805,'Step 4 Stage Discharge'!E$26:E$126,1),9)+(INDEX('Step 4 Stage Discharge'!E$26:M$126,MATCH('Step 6 Quality Check'!C805,'Step 4 Stage Discharge'!E$26:E$126,1)+1,9)-INDEX('Step 4 Stage Discharge'!E$26:M$126,MATCH('Step 6 Quality Check'!C805,'Step 4 Stage Discharge'!E$26:E$126,1),9))*('Step 6 Quality Check'!C805-INDEX('Step 4 Stage Discharge'!E$26:M$126,MATCH('Step 6 Quality Check'!C805,'Step 4 Stage Discharge'!E$26:E$126,1),1))/(INDEX('Step 4 Stage Discharge'!E$26:M$126,MATCH('Step 6 Quality Check'!C805,'Step 4 Stage Discharge'!E$26:E$126,1)+1,1)-INDEX('Step 4 Stage Discharge'!E$26:M$126,MATCH('Step 6 Quality Check'!C805,'Step 4 Stage Discharge'!E$26:E$126,1),1))</f>
        <v>4.3639431710317386E-3</v>
      </c>
      <c r="F805" s="218">
        <f t="shared" si="60"/>
        <v>0</v>
      </c>
      <c r="G805" s="218">
        <f t="shared" si="61"/>
        <v>0</v>
      </c>
    </row>
    <row r="806" spans="1:7">
      <c r="A806" s="217">
        <f t="shared" si="62"/>
        <v>3950</v>
      </c>
      <c r="B806" s="216">
        <f t="shared" si="63"/>
        <v>99.1</v>
      </c>
      <c r="C806" s="218">
        <f t="shared" si="64"/>
        <v>0</v>
      </c>
      <c r="D806" s="219">
        <f>INDEX('Step 4 Stage Discharge'!E$26:F$126,MATCH(C806,'Step 4 Stage Discharge'!E$26:E$126,1),2)+(INDEX('Step 4 Stage Discharge'!E$26:F$126,MATCH(C806,'Step 4 Stage Discharge'!E$26:E$126,1)+1,2)-INDEX('Step 4 Stage Discharge'!E$26:F$126,MATCH(C806,'Step 4 Stage Discharge'!E$26:E$126,1),2))*(C806-INDEX('Step 4 Stage Discharge'!E$26:F$126,MATCH(C806,'Step 4 Stage Discharge'!E$26:E$126,1),1))/(INDEX('Step 4 Stage Discharge'!E$26:F$126,MATCH(C806,'Step 4 Stage Discharge'!E$26:E$126,1)+1,1)-INDEX('Step 4 Stage Discharge'!E$26:F$126,MATCH(C806,'Step 4 Stage Discharge'!E$26:E$126,1),1))</f>
        <v>0</v>
      </c>
      <c r="E806" s="219">
        <f>INDEX('Step 4 Stage Discharge'!E$26:M$126,MATCH(C806,'Step 4 Stage Discharge'!E$26:E$126,1),9)+(INDEX('Step 4 Stage Discharge'!E$26:M$126,MATCH('Step 6 Quality Check'!C806,'Step 4 Stage Discharge'!E$26:E$126,1)+1,9)-INDEX('Step 4 Stage Discharge'!E$26:M$126,MATCH('Step 6 Quality Check'!C806,'Step 4 Stage Discharge'!E$26:E$126,1),9))*('Step 6 Quality Check'!C806-INDEX('Step 4 Stage Discharge'!E$26:M$126,MATCH('Step 6 Quality Check'!C806,'Step 4 Stage Discharge'!E$26:E$126,1),1))/(INDEX('Step 4 Stage Discharge'!E$26:M$126,MATCH('Step 6 Quality Check'!C806,'Step 4 Stage Discharge'!E$26:E$126,1)+1,1)-INDEX('Step 4 Stage Discharge'!E$26:M$126,MATCH('Step 6 Quality Check'!C806,'Step 4 Stage Discharge'!E$26:E$126,1),1))</f>
        <v>4.3639431710317386E-3</v>
      </c>
      <c r="F806" s="218">
        <f t="shared" si="60"/>
        <v>0</v>
      </c>
      <c r="G806" s="218">
        <f t="shared" si="61"/>
        <v>0</v>
      </c>
    </row>
    <row r="807" spans="1:7">
      <c r="A807" s="217">
        <f t="shared" si="62"/>
        <v>3955</v>
      </c>
      <c r="B807" s="216">
        <f t="shared" si="63"/>
        <v>99.1</v>
      </c>
      <c r="C807" s="218">
        <f t="shared" si="64"/>
        <v>0</v>
      </c>
      <c r="D807" s="219">
        <f>INDEX('Step 4 Stage Discharge'!E$26:F$126,MATCH(C807,'Step 4 Stage Discharge'!E$26:E$126,1),2)+(INDEX('Step 4 Stage Discharge'!E$26:F$126,MATCH(C807,'Step 4 Stage Discharge'!E$26:E$126,1)+1,2)-INDEX('Step 4 Stage Discharge'!E$26:F$126,MATCH(C807,'Step 4 Stage Discharge'!E$26:E$126,1),2))*(C807-INDEX('Step 4 Stage Discharge'!E$26:F$126,MATCH(C807,'Step 4 Stage Discharge'!E$26:E$126,1),1))/(INDEX('Step 4 Stage Discharge'!E$26:F$126,MATCH(C807,'Step 4 Stage Discharge'!E$26:E$126,1)+1,1)-INDEX('Step 4 Stage Discharge'!E$26:F$126,MATCH(C807,'Step 4 Stage Discharge'!E$26:E$126,1),1))</f>
        <v>0</v>
      </c>
      <c r="E807" s="219">
        <f>INDEX('Step 4 Stage Discharge'!E$26:M$126,MATCH(C807,'Step 4 Stage Discharge'!E$26:E$126,1),9)+(INDEX('Step 4 Stage Discharge'!E$26:M$126,MATCH('Step 6 Quality Check'!C807,'Step 4 Stage Discharge'!E$26:E$126,1)+1,9)-INDEX('Step 4 Stage Discharge'!E$26:M$126,MATCH('Step 6 Quality Check'!C807,'Step 4 Stage Discharge'!E$26:E$126,1),9))*('Step 6 Quality Check'!C807-INDEX('Step 4 Stage Discharge'!E$26:M$126,MATCH('Step 6 Quality Check'!C807,'Step 4 Stage Discharge'!E$26:E$126,1),1))/(INDEX('Step 4 Stage Discharge'!E$26:M$126,MATCH('Step 6 Quality Check'!C807,'Step 4 Stage Discharge'!E$26:E$126,1)+1,1)-INDEX('Step 4 Stage Discharge'!E$26:M$126,MATCH('Step 6 Quality Check'!C807,'Step 4 Stage Discharge'!E$26:E$126,1),1))</f>
        <v>4.3639431710317386E-3</v>
      </c>
      <c r="F807" s="218">
        <f t="shared" si="60"/>
        <v>0</v>
      </c>
      <c r="G807" s="218">
        <f t="shared" si="61"/>
        <v>0</v>
      </c>
    </row>
    <row r="808" spans="1:7">
      <c r="A808" s="217">
        <f t="shared" si="62"/>
        <v>3960</v>
      </c>
      <c r="B808" s="216">
        <f t="shared" si="63"/>
        <v>99.1</v>
      </c>
      <c r="C808" s="218">
        <f t="shared" si="64"/>
        <v>0</v>
      </c>
      <c r="D808" s="219">
        <f>INDEX('Step 4 Stage Discharge'!E$26:F$126,MATCH(C808,'Step 4 Stage Discharge'!E$26:E$126,1),2)+(INDEX('Step 4 Stage Discharge'!E$26:F$126,MATCH(C808,'Step 4 Stage Discharge'!E$26:E$126,1)+1,2)-INDEX('Step 4 Stage Discharge'!E$26:F$126,MATCH(C808,'Step 4 Stage Discharge'!E$26:E$126,1),2))*(C808-INDEX('Step 4 Stage Discharge'!E$26:F$126,MATCH(C808,'Step 4 Stage Discharge'!E$26:E$126,1),1))/(INDEX('Step 4 Stage Discharge'!E$26:F$126,MATCH(C808,'Step 4 Stage Discharge'!E$26:E$126,1)+1,1)-INDEX('Step 4 Stage Discharge'!E$26:F$126,MATCH(C808,'Step 4 Stage Discharge'!E$26:E$126,1),1))</f>
        <v>0</v>
      </c>
      <c r="E808" s="219">
        <f>INDEX('Step 4 Stage Discharge'!E$26:M$126,MATCH(C808,'Step 4 Stage Discharge'!E$26:E$126,1),9)+(INDEX('Step 4 Stage Discharge'!E$26:M$126,MATCH('Step 6 Quality Check'!C808,'Step 4 Stage Discharge'!E$26:E$126,1)+1,9)-INDEX('Step 4 Stage Discharge'!E$26:M$126,MATCH('Step 6 Quality Check'!C808,'Step 4 Stage Discharge'!E$26:E$126,1),9))*('Step 6 Quality Check'!C808-INDEX('Step 4 Stage Discharge'!E$26:M$126,MATCH('Step 6 Quality Check'!C808,'Step 4 Stage Discharge'!E$26:E$126,1),1))/(INDEX('Step 4 Stage Discharge'!E$26:M$126,MATCH('Step 6 Quality Check'!C808,'Step 4 Stage Discharge'!E$26:E$126,1)+1,1)-INDEX('Step 4 Stage Discharge'!E$26:M$126,MATCH('Step 6 Quality Check'!C808,'Step 4 Stage Discharge'!E$26:E$126,1),1))</f>
        <v>4.3639431710317386E-3</v>
      </c>
      <c r="F808" s="218">
        <f t="shared" si="60"/>
        <v>0</v>
      </c>
      <c r="G808" s="218">
        <f t="shared" si="61"/>
        <v>0</v>
      </c>
    </row>
    <row r="809" spans="1:7">
      <c r="A809" s="217">
        <f t="shared" si="62"/>
        <v>3965</v>
      </c>
      <c r="B809" s="216">
        <f t="shared" si="63"/>
        <v>99.1</v>
      </c>
      <c r="C809" s="218">
        <f t="shared" si="64"/>
        <v>0</v>
      </c>
      <c r="D809" s="219">
        <f>INDEX('Step 4 Stage Discharge'!E$26:F$126,MATCH(C809,'Step 4 Stage Discharge'!E$26:E$126,1),2)+(INDEX('Step 4 Stage Discharge'!E$26:F$126,MATCH(C809,'Step 4 Stage Discharge'!E$26:E$126,1)+1,2)-INDEX('Step 4 Stage Discharge'!E$26:F$126,MATCH(C809,'Step 4 Stage Discharge'!E$26:E$126,1),2))*(C809-INDEX('Step 4 Stage Discharge'!E$26:F$126,MATCH(C809,'Step 4 Stage Discharge'!E$26:E$126,1),1))/(INDEX('Step 4 Stage Discharge'!E$26:F$126,MATCH(C809,'Step 4 Stage Discharge'!E$26:E$126,1)+1,1)-INDEX('Step 4 Stage Discharge'!E$26:F$126,MATCH(C809,'Step 4 Stage Discharge'!E$26:E$126,1),1))</f>
        <v>0</v>
      </c>
      <c r="E809" s="219">
        <f>INDEX('Step 4 Stage Discharge'!E$26:M$126,MATCH(C809,'Step 4 Stage Discharge'!E$26:E$126,1),9)+(INDEX('Step 4 Stage Discharge'!E$26:M$126,MATCH('Step 6 Quality Check'!C809,'Step 4 Stage Discharge'!E$26:E$126,1)+1,9)-INDEX('Step 4 Stage Discharge'!E$26:M$126,MATCH('Step 6 Quality Check'!C809,'Step 4 Stage Discharge'!E$26:E$126,1),9))*('Step 6 Quality Check'!C809-INDEX('Step 4 Stage Discharge'!E$26:M$126,MATCH('Step 6 Quality Check'!C809,'Step 4 Stage Discharge'!E$26:E$126,1),1))/(INDEX('Step 4 Stage Discharge'!E$26:M$126,MATCH('Step 6 Quality Check'!C809,'Step 4 Stage Discharge'!E$26:E$126,1)+1,1)-INDEX('Step 4 Stage Discharge'!E$26:M$126,MATCH('Step 6 Quality Check'!C809,'Step 4 Stage Discharge'!E$26:E$126,1),1))</f>
        <v>4.3639431710317386E-3</v>
      </c>
      <c r="F809" s="218">
        <f t="shared" si="60"/>
        <v>0</v>
      </c>
      <c r="G809" s="218">
        <f t="shared" si="61"/>
        <v>0</v>
      </c>
    </row>
    <row r="810" spans="1:7">
      <c r="A810" s="217">
        <f t="shared" si="62"/>
        <v>3970</v>
      </c>
      <c r="B810" s="216">
        <f t="shared" si="63"/>
        <v>99.1</v>
      </c>
      <c r="C810" s="218">
        <f t="shared" si="64"/>
        <v>0</v>
      </c>
      <c r="D810" s="219">
        <f>INDEX('Step 4 Stage Discharge'!E$26:F$126,MATCH(C810,'Step 4 Stage Discharge'!E$26:E$126,1),2)+(INDEX('Step 4 Stage Discharge'!E$26:F$126,MATCH(C810,'Step 4 Stage Discharge'!E$26:E$126,1)+1,2)-INDEX('Step 4 Stage Discharge'!E$26:F$126,MATCH(C810,'Step 4 Stage Discharge'!E$26:E$126,1),2))*(C810-INDEX('Step 4 Stage Discharge'!E$26:F$126,MATCH(C810,'Step 4 Stage Discharge'!E$26:E$126,1),1))/(INDEX('Step 4 Stage Discharge'!E$26:F$126,MATCH(C810,'Step 4 Stage Discharge'!E$26:E$126,1)+1,1)-INDEX('Step 4 Stage Discharge'!E$26:F$126,MATCH(C810,'Step 4 Stage Discharge'!E$26:E$126,1),1))</f>
        <v>0</v>
      </c>
      <c r="E810" s="219">
        <f>INDEX('Step 4 Stage Discharge'!E$26:M$126,MATCH(C810,'Step 4 Stage Discharge'!E$26:E$126,1),9)+(INDEX('Step 4 Stage Discharge'!E$26:M$126,MATCH('Step 6 Quality Check'!C810,'Step 4 Stage Discharge'!E$26:E$126,1)+1,9)-INDEX('Step 4 Stage Discharge'!E$26:M$126,MATCH('Step 6 Quality Check'!C810,'Step 4 Stage Discharge'!E$26:E$126,1),9))*('Step 6 Quality Check'!C810-INDEX('Step 4 Stage Discharge'!E$26:M$126,MATCH('Step 6 Quality Check'!C810,'Step 4 Stage Discharge'!E$26:E$126,1),1))/(INDEX('Step 4 Stage Discharge'!E$26:M$126,MATCH('Step 6 Quality Check'!C810,'Step 4 Stage Discharge'!E$26:E$126,1)+1,1)-INDEX('Step 4 Stage Discharge'!E$26:M$126,MATCH('Step 6 Quality Check'!C810,'Step 4 Stage Discharge'!E$26:E$126,1),1))</f>
        <v>4.3639431710317386E-3</v>
      </c>
      <c r="F810" s="218">
        <f t="shared" si="60"/>
        <v>0</v>
      </c>
      <c r="G810" s="218">
        <f t="shared" si="61"/>
        <v>0</v>
      </c>
    </row>
    <row r="811" spans="1:7">
      <c r="A811" s="217">
        <f t="shared" si="62"/>
        <v>3975</v>
      </c>
      <c r="B811" s="216">
        <f t="shared" si="63"/>
        <v>99.1</v>
      </c>
      <c r="C811" s="218">
        <f t="shared" si="64"/>
        <v>0</v>
      </c>
      <c r="D811" s="219">
        <f>INDEX('Step 4 Stage Discharge'!E$26:F$126,MATCH(C811,'Step 4 Stage Discharge'!E$26:E$126,1),2)+(INDEX('Step 4 Stage Discharge'!E$26:F$126,MATCH(C811,'Step 4 Stage Discharge'!E$26:E$126,1)+1,2)-INDEX('Step 4 Stage Discharge'!E$26:F$126,MATCH(C811,'Step 4 Stage Discharge'!E$26:E$126,1),2))*(C811-INDEX('Step 4 Stage Discharge'!E$26:F$126,MATCH(C811,'Step 4 Stage Discharge'!E$26:E$126,1),1))/(INDEX('Step 4 Stage Discharge'!E$26:F$126,MATCH(C811,'Step 4 Stage Discharge'!E$26:E$126,1)+1,1)-INDEX('Step 4 Stage Discharge'!E$26:F$126,MATCH(C811,'Step 4 Stage Discharge'!E$26:E$126,1),1))</f>
        <v>0</v>
      </c>
      <c r="E811" s="219">
        <f>INDEX('Step 4 Stage Discharge'!E$26:M$126,MATCH(C811,'Step 4 Stage Discharge'!E$26:E$126,1),9)+(INDEX('Step 4 Stage Discharge'!E$26:M$126,MATCH('Step 6 Quality Check'!C811,'Step 4 Stage Discharge'!E$26:E$126,1)+1,9)-INDEX('Step 4 Stage Discharge'!E$26:M$126,MATCH('Step 6 Quality Check'!C811,'Step 4 Stage Discharge'!E$26:E$126,1),9))*('Step 6 Quality Check'!C811-INDEX('Step 4 Stage Discharge'!E$26:M$126,MATCH('Step 6 Quality Check'!C811,'Step 4 Stage Discharge'!E$26:E$126,1),1))/(INDEX('Step 4 Stage Discharge'!E$26:M$126,MATCH('Step 6 Quality Check'!C811,'Step 4 Stage Discharge'!E$26:E$126,1)+1,1)-INDEX('Step 4 Stage Discharge'!E$26:M$126,MATCH('Step 6 Quality Check'!C811,'Step 4 Stage Discharge'!E$26:E$126,1),1))</f>
        <v>4.3639431710317386E-3</v>
      </c>
      <c r="F811" s="218">
        <f t="shared" si="60"/>
        <v>0</v>
      </c>
      <c r="G811" s="218">
        <f t="shared" si="61"/>
        <v>0</v>
      </c>
    </row>
    <row r="812" spans="1:7">
      <c r="A812" s="217">
        <f t="shared" si="62"/>
        <v>3980</v>
      </c>
      <c r="B812" s="216">
        <f t="shared" si="63"/>
        <v>99.1</v>
      </c>
      <c r="C812" s="218">
        <f t="shared" si="64"/>
        <v>0</v>
      </c>
      <c r="D812" s="219">
        <f>INDEX('Step 4 Stage Discharge'!E$26:F$126,MATCH(C812,'Step 4 Stage Discharge'!E$26:E$126,1),2)+(INDEX('Step 4 Stage Discharge'!E$26:F$126,MATCH(C812,'Step 4 Stage Discharge'!E$26:E$126,1)+1,2)-INDEX('Step 4 Stage Discharge'!E$26:F$126,MATCH(C812,'Step 4 Stage Discharge'!E$26:E$126,1),2))*(C812-INDEX('Step 4 Stage Discharge'!E$26:F$126,MATCH(C812,'Step 4 Stage Discharge'!E$26:E$126,1),1))/(INDEX('Step 4 Stage Discharge'!E$26:F$126,MATCH(C812,'Step 4 Stage Discharge'!E$26:E$126,1)+1,1)-INDEX('Step 4 Stage Discharge'!E$26:F$126,MATCH(C812,'Step 4 Stage Discharge'!E$26:E$126,1),1))</f>
        <v>0</v>
      </c>
      <c r="E812" s="219">
        <f>INDEX('Step 4 Stage Discharge'!E$26:M$126,MATCH(C812,'Step 4 Stage Discharge'!E$26:E$126,1),9)+(INDEX('Step 4 Stage Discharge'!E$26:M$126,MATCH('Step 6 Quality Check'!C812,'Step 4 Stage Discharge'!E$26:E$126,1)+1,9)-INDEX('Step 4 Stage Discharge'!E$26:M$126,MATCH('Step 6 Quality Check'!C812,'Step 4 Stage Discharge'!E$26:E$126,1),9))*('Step 6 Quality Check'!C812-INDEX('Step 4 Stage Discharge'!E$26:M$126,MATCH('Step 6 Quality Check'!C812,'Step 4 Stage Discharge'!E$26:E$126,1),1))/(INDEX('Step 4 Stage Discharge'!E$26:M$126,MATCH('Step 6 Quality Check'!C812,'Step 4 Stage Discharge'!E$26:E$126,1)+1,1)-INDEX('Step 4 Stage Discharge'!E$26:M$126,MATCH('Step 6 Quality Check'!C812,'Step 4 Stage Discharge'!E$26:E$126,1),1))</f>
        <v>4.3639431710317386E-3</v>
      </c>
      <c r="F812" s="218">
        <f t="shared" si="60"/>
        <v>0</v>
      </c>
      <c r="G812" s="218">
        <f t="shared" si="61"/>
        <v>0</v>
      </c>
    </row>
    <row r="813" spans="1:7">
      <c r="A813" s="217">
        <f t="shared" si="62"/>
        <v>3985</v>
      </c>
      <c r="B813" s="216">
        <f t="shared" si="63"/>
        <v>99.1</v>
      </c>
      <c r="C813" s="218">
        <f t="shared" si="64"/>
        <v>0</v>
      </c>
      <c r="D813" s="219">
        <f>INDEX('Step 4 Stage Discharge'!E$26:F$126,MATCH(C813,'Step 4 Stage Discharge'!E$26:E$126,1),2)+(INDEX('Step 4 Stage Discharge'!E$26:F$126,MATCH(C813,'Step 4 Stage Discharge'!E$26:E$126,1)+1,2)-INDEX('Step 4 Stage Discharge'!E$26:F$126,MATCH(C813,'Step 4 Stage Discharge'!E$26:E$126,1),2))*(C813-INDEX('Step 4 Stage Discharge'!E$26:F$126,MATCH(C813,'Step 4 Stage Discharge'!E$26:E$126,1),1))/(INDEX('Step 4 Stage Discharge'!E$26:F$126,MATCH(C813,'Step 4 Stage Discharge'!E$26:E$126,1)+1,1)-INDEX('Step 4 Stage Discharge'!E$26:F$126,MATCH(C813,'Step 4 Stage Discharge'!E$26:E$126,1),1))</f>
        <v>0</v>
      </c>
      <c r="E813" s="219">
        <f>INDEX('Step 4 Stage Discharge'!E$26:M$126,MATCH(C813,'Step 4 Stage Discharge'!E$26:E$126,1),9)+(INDEX('Step 4 Stage Discharge'!E$26:M$126,MATCH('Step 6 Quality Check'!C813,'Step 4 Stage Discharge'!E$26:E$126,1)+1,9)-INDEX('Step 4 Stage Discharge'!E$26:M$126,MATCH('Step 6 Quality Check'!C813,'Step 4 Stage Discharge'!E$26:E$126,1),9))*('Step 6 Quality Check'!C813-INDEX('Step 4 Stage Discharge'!E$26:M$126,MATCH('Step 6 Quality Check'!C813,'Step 4 Stage Discharge'!E$26:E$126,1),1))/(INDEX('Step 4 Stage Discharge'!E$26:M$126,MATCH('Step 6 Quality Check'!C813,'Step 4 Stage Discharge'!E$26:E$126,1)+1,1)-INDEX('Step 4 Stage Discharge'!E$26:M$126,MATCH('Step 6 Quality Check'!C813,'Step 4 Stage Discharge'!E$26:E$126,1),1))</f>
        <v>4.3639431710317386E-3</v>
      </c>
      <c r="F813" s="218">
        <f t="shared" si="60"/>
        <v>0</v>
      </c>
      <c r="G813" s="218">
        <f t="shared" si="61"/>
        <v>0</v>
      </c>
    </row>
    <row r="814" spans="1:7">
      <c r="A814" s="217">
        <f t="shared" si="62"/>
        <v>3990</v>
      </c>
      <c r="B814" s="216">
        <f t="shared" si="63"/>
        <v>99.1</v>
      </c>
      <c r="C814" s="218">
        <f t="shared" si="64"/>
        <v>0</v>
      </c>
      <c r="D814" s="219">
        <f>INDEX('Step 4 Stage Discharge'!E$26:F$126,MATCH(C814,'Step 4 Stage Discharge'!E$26:E$126,1),2)+(INDEX('Step 4 Stage Discharge'!E$26:F$126,MATCH(C814,'Step 4 Stage Discharge'!E$26:E$126,1)+1,2)-INDEX('Step 4 Stage Discharge'!E$26:F$126,MATCH(C814,'Step 4 Stage Discharge'!E$26:E$126,1),2))*(C814-INDEX('Step 4 Stage Discharge'!E$26:F$126,MATCH(C814,'Step 4 Stage Discharge'!E$26:E$126,1),1))/(INDEX('Step 4 Stage Discharge'!E$26:F$126,MATCH(C814,'Step 4 Stage Discharge'!E$26:E$126,1)+1,1)-INDEX('Step 4 Stage Discharge'!E$26:F$126,MATCH(C814,'Step 4 Stage Discharge'!E$26:E$126,1),1))</f>
        <v>0</v>
      </c>
      <c r="E814" s="219">
        <f>INDEX('Step 4 Stage Discharge'!E$26:M$126,MATCH(C814,'Step 4 Stage Discharge'!E$26:E$126,1),9)+(INDEX('Step 4 Stage Discharge'!E$26:M$126,MATCH('Step 6 Quality Check'!C814,'Step 4 Stage Discharge'!E$26:E$126,1)+1,9)-INDEX('Step 4 Stage Discharge'!E$26:M$126,MATCH('Step 6 Quality Check'!C814,'Step 4 Stage Discharge'!E$26:E$126,1),9))*('Step 6 Quality Check'!C814-INDEX('Step 4 Stage Discharge'!E$26:M$126,MATCH('Step 6 Quality Check'!C814,'Step 4 Stage Discharge'!E$26:E$126,1),1))/(INDEX('Step 4 Stage Discharge'!E$26:M$126,MATCH('Step 6 Quality Check'!C814,'Step 4 Stage Discharge'!E$26:E$126,1)+1,1)-INDEX('Step 4 Stage Discharge'!E$26:M$126,MATCH('Step 6 Quality Check'!C814,'Step 4 Stage Discharge'!E$26:E$126,1),1))</f>
        <v>4.3639431710317386E-3</v>
      </c>
      <c r="F814" s="218">
        <f t="shared" si="60"/>
        <v>0</v>
      </c>
      <c r="G814" s="218">
        <f t="shared" si="61"/>
        <v>0</v>
      </c>
    </row>
    <row r="815" spans="1:7">
      <c r="A815" s="217">
        <f t="shared" si="62"/>
        <v>3995</v>
      </c>
      <c r="B815" s="216">
        <f t="shared" si="63"/>
        <v>99.1</v>
      </c>
      <c r="C815" s="218">
        <f t="shared" si="64"/>
        <v>0</v>
      </c>
      <c r="D815" s="219">
        <f>INDEX('Step 4 Stage Discharge'!E$26:F$126,MATCH(C815,'Step 4 Stage Discharge'!E$26:E$126,1),2)+(INDEX('Step 4 Stage Discharge'!E$26:F$126,MATCH(C815,'Step 4 Stage Discharge'!E$26:E$126,1)+1,2)-INDEX('Step 4 Stage Discharge'!E$26:F$126,MATCH(C815,'Step 4 Stage Discharge'!E$26:E$126,1),2))*(C815-INDEX('Step 4 Stage Discharge'!E$26:F$126,MATCH(C815,'Step 4 Stage Discharge'!E$26:E$126,1),1))/(INDEX('Step 4 Stage Discharge'!E$26:F$126,MATCH(C815,'Step 4 Stage Discharge'!E$26:E$126,1)+1,1)-INDEX('Step 4 Stage Discharge'!E$26:F$126,MATCH(C815,'Step 4 Stage Discharge'!E$26:E$126,1),1))</f>
        <v>0</v>
      </c>
      <c r="E815" s="219">
        <f>INDEX('Step 4 Stage Discharge'!E$26:M$126,MATCH(C815,'Step 4 Stage Discharge'!E$26:E$126,1),9)+(INDEX('Step 4 Stage Discharge'!E$26:M$126,MATCH('Step 6 Quality Check'!C815,'Step 4 Stage Discharge'!E$26:E$126,1)+1,9)-INDEX('Step 4 Stage Discharge'!E$26:M$126,MATCH('Step 6 Quality Check'!C815,'Step 4 Stage Discharge'!E$26:E$126,1),9))*('Step 6 Quality Check'!C815-INDEX('Step 4 Stage Discharge'!E$26:M$126,MATCH('Step 6 Quality Check'!C815,'Step 4 Stage Discharge'!E$26:E$126,1),1))/(INDEX('Step 4 Stage Discharge'!E$26:M$126,MATCH('Step 6 Quality Check'!C815,'Step 4 Stage Discharge'!E$26:E$126,1)+1,1)-INDEX('Step 4 Stage Discharge'!E$26:M$126,MATCH('Step 6 Quality Check'!C815,'Step 4 Stage Discharge'!E$26:E$126,1),1))</f>
        <v>4.3639431710317386E-3</v>
      </c>
      <c r="F815" s="218">
        <f t="shared" si="60"/>
        <v>0</v>
      </c>
      <c r="G815" s="218">
        <f t="shared" si="61"/>
        <v>0</v>
      </c>
    </row>
    <row r="816" spans="1:7">
      <c r="A816" s="217">
        <f t="shared" si="62"/>
        <v>4000</v>
      </c>
      <c r="B816" s="216">
        <f t="shared" si="63"/>
        <v>99.1</v>
      </c>
      <c r="C816" s="218">
        <f t="shared" si="64"/>
        <v>0</v>
      </c>
      <c r="D816" s="219">
        <f>INDEX('Step 4 Stage Discharge'!E$26:F$126,MATCH(C816,'Step 4 Stage Discharge'!E$26:E$126,1),2)+(INDEX('Step 4 Stage Discharge'!E$26:F$126,MATCH(C816,'Step 4 Stage Discharge'!E$26:E$126,1)+1,2)-INDEX('Step 4 Stage Discharge'!E$26:F$126,MATCH(C816,'Step 4 Stage Discharge'!E$26:E$126,1),2))*(C816-INDEX('Step 4 Stage Discharge'!E$26:F$126,MATCH(C816,'Step 4 Stage Discharge'!E$26:E$126,1),1))/(INDEX('Step 4 Stage Discharge'!E$26:F$126,MATCH(C816,'Step 4 Stage Discharge'!E$26:E$126,1)+1,1)-INDEX('Step 4 Stage Discharge'!E$26:F$126,MATCH(C816,'Step 4 Stage Discharge'!E$26:E$126,1),1))</f>
        <v>0</v>
      </c>
      <c r="E816" s="219">
        <f>INDEX('Step 4 Stage Discharge'!E$26:M$126,MATCH(C816,'Step 4 Stage Discharge'!E$26:E$126,1),9)+(INDEX('Step 4 Stage Discharge'!E$26:M$126,MATCH('Step 6 Quality Check'!C816,'Step 4 Stage Discharge'!E$26:E$126,1)+1,9)-INDEX('Step 4 Stage Discharge'!E$26:M$126,MATCH('Step 6 Quality Check'!C816,'Step 4 Stage Discharge'!E$26:E$126,1),9))*('Step 6 Quality Check'!C816-INDEX('Step 4 Stage Discharge'!E$26:M$126,MATCH('Step 6 Quality Check'!C816,'Step 4 Stage Discharge'!E$26:E$126,1),1))/(INDEX('Step 4 Stage Discharge'!E$26:M$126,MATCH('Step 6 Quality Check'!C816,'Step 4 Stage Discharge'!E$26:E$126,1)+1,1)-INDEX('Step 4 Stage Discharge'!E$26:M$126,MATCH('Step 6 Quality Check'!C816,'Step 4 Stage Discharge'!E$26:E$126,1),1))</f>
        <v>4.3639431710317386E-3</v>
      </c>
      <c r="F816" s="218">
        <f t="shared" si="60"/>
        <v>0</v>
      </c>
      <c r="G816" s="218">
        <f t="shared" si="61"/>
        <v>0</v>
      </c>
    </row>
    <row r="817" spans="1:7">
      <c r="A817" s="217">
        <f t="shared" si="62"/>
        <v>4005</v>
      </c>
      <c r="B817" s="216">
        <f t="shared" si="63"/>
        <v>99.1</v>
      </c>
      <c r="C817" s="218">
        <f t="shared" si="64"/>
        <v>0</v>
      </c>
      <c r="D817" s="219">
        <f>INDEX('Step 4 Stage Discharge'!E$26:F$126,MATCH(C817,'Step 4 Stage Discharge'!E$26:E$126,1),2)+(INDEX('Step 4 Stage Discharge'!E$26:F$126,MATCH(C817,'Step 4 Stage Discharge'!E$26:E$126,1)+1,2)-INDEX('Step 4 Stage Discharge'!E$26:F$126,MATCH(C817,'Step 4 Stage Discharge'!E$26:E$126,1),2))*(C817-INDEX('Step 4 Stage Discharge'!E$26:F$126,MATCH(C817,'Step 4 Stage Discharge'!E$26:E$126,1),1))/(INDEX('Step 4 Stage Discharge'!E$26:F$126,MATCH(C817,'Step 4 Stage Discharge'!E$26:E$126,1)+1,1)-INDEX('Step 4 Stage Discharge'!E$26:F$126,MATCH(C817,'Step 4 Stage Discharge'!E$26:E$126,1),1))</f>
        <v>0</v>
      </c>
      <c r="E817" s="219">
        <f>INDEX('Step 4 Stage Discharge'!E$26:M$126,MATCH(C817,'Step 4 Stage Discharge'!E$26:E$126,1),9)+(INDEX('Step 4 Stage Discharge'!E$26:M$126,MATCH('Step 6 Quality Check'!C817,'Step 4 Stage Discharge'!E$26:E$126,1)+1,9)-INDEX('Step 4 Stage Discharge'!E$26:M$126,MATCH('Step 6 Quality Check'!C817,'Step 4 Stage Discharge'!E$26:E$126,1),9))*('Step 6 Quality Check'!C817-INDEX('Step 4 Stage Discharge'!E$26:M$126,MATCH('Step 6 Quality Check'!C817,'Step 4 Stage Discharge'!E$26:E$126,1),1))/(INDEX('Step 4 Stage Discharge'!E$26:M$126,MATCH('Step 6 Quality Check'!C817,'Step 4 Stage Discharge'!E$26:E$126,1)+1,1)-INDEX('Step 4 Stage Discharge'!E$26:M$126,MATCH('Step 6 Quality Check'!C817,'Step 4 Stage Discharge'!E$26:E$126,1),1))</f>
        <v>4.3639431710317386E-3</v>
      </c>
      <c r="F817" s="218">
        <f t="shared" si="60"/>
        <v>0</v>
      </c>
      <c r="G817" s="218">
        <f t="shared" si="61"/>
        <v>0</v>
      </c>
    </row>
    <row r="818" spans="1:7">
      <c r="A818" s="217">
        <f t="shared" si="62"/>
        <v>4010</v>
      </c>
      <c r="B818" s="216">
        <f t="shared" si="63"/>
        <v>99.1</v>
      </c>
      <c r="C818" s="218">
        <f t="shared" si="64"/>
        <v>0</v>
      </c>
      <c r="D818" s="219">
        <f>INDEX('Step 4 Stage Discharge'!E$26:F$126,MATCH(C818,'Step 4 Stage Discharge'!E$26:E$126,1),2)+(INDEX('Step 4 Stage Discharge'!E$26:F$126,MATCH(C818,'Step 4 Stage Discharge'!E$26:E$126,1)+1,2)-INDEX('Step 4 Stage Discharge'!E$26:F$126,MATCH(C818,'Step 4 Stage Discharge'!E$26:E$126,1),2))*(C818-INDEX('Step 4 Stage Discharge'!E$26:F$126,MATCH(C818,'Step 4 Stage Discharge'!E$26:E$126,1),1))/(INDEX('Step 4 Stage Discharge'!E$26:F$126,MATCH(C818,'Step 4 Stage Discharge'!E$26:E$126,1)+1,1)-INDEX('Step 4 Stage Discharge'!E$26:F$126,MATCH(C818,'Step 4 Stage Discharge'!E$26:E$126,1),1))</f>
        <v>0</v>
      </c>
      <c r="E818" s="219">
        <f>INDEX('Step 4 Stage Discharge'!E$26:M$126,MATCH(C818,'Step 4 Stage Discharge'!E$26:E$126,1),9)+(INDEX('Step 4 Stage Discharge'!E$26:M$126,MATCH('Step 6 Quality Check'!C818,'Step 4 Stage Discharge'!E$26:E$126,1)+1,9)-INDEX('Step 4 Stage Discharge'!E$26:M$126,MATCH('Step 6 Quality Check'!C818,'Step 4 Stage Discharge'!E$26:E$126,1),9))*('Step 6 Quality Check'!C818-INDEX('Step 4 Stage Discharge'!E$26:M$126,MATCH('Step 6 Quality Check'!C818,'Step 4 Stage Discharge'!E$26:E$126,1),1))/(INDEX('Step 4 Stage Discharge'!E$26:M$126,MATCH('Step 6 Quality Check'!C818,'Step 4 Stage Discharge'!E$26:E$126,1)+1,1)-INDEX('Step 4 Stage Discharge'!E$26:M$126,MATCH('Step 6 Quality Check'!C818,'Step 4 Stage Discharge'!E$26:E$126,1),1))</f>
        <v>4.3639431710317386E-3</v>
      </c>
      <c r="F818" s="218">
        <f t="shared" si="60"/>
        <v>0</v>
      </c>
      <c r="G818" s="218">
        <f t="shared" si="61"/>
        <v>0</v>
      </c>
    </row>
    <row r="819" spans="1:7">
      <c r="A819" s="217">
        <f t="shared" si="62"/>
        <v>4015</v>
      </c>
      <c r="B819" s="216">
        <f t="shared" si="63"/>
        <v>99.1</v>
      </c>
      <c r="C819" s="218">
        <f t="shared" si="64"/>
        <v>0</v>
      </c>
      <c r="D819" s="219">
        <f>INDEX('Step 4 Stage Discharge'!E$26:F$126,MATCH(C819,'Step 4 Stage Discharge'!E$26:E$126,1),2)+(INDEX('Step 4 Stage Discharge'!E$26:F$126,MATCH(C819,'Step 4 Stage Discharge'!E$26:E$126,1)+1,2)-INDEX('Step 4 Stage Discharge'!E$26:F$126,MATCH(C819,'Step 4 Stage Discharge'!E$26:E$126,1),2))*(C819-INDEX('Step 4 Stage Discharge'!E$26:F$126,MATCH(C819,'Step 4 Stage Discharge'!E$26:E$126,1),1))/(INDEX('Step 4 Stage Discharge'!E$26:F$126,MATCH(C819,'Step 4 Stage Discharge'!E$26:E$126,1)+1,1)-INDEX('Step 4 Stage Discharge'!E$26:F$126,MATCH(C819,'Step 4 Stage Discharge'!E$26:E$126,1),1))</f>
        <v>0</v>
      </c>
      <c r="E819" s="219">
        <f>INDEX('Step 4 Stage Discharge'!E$26:M$126,MATCH(C819,'Step 4 Stage Discharge'!E$26:E$126,1),9)+(INDEX('Step 4 Stage Discharge'!E$26:M$126,MATCH('Step 6 Quality Check'!C819,'Step 4 Stage Discharge'!E$26:E$126,1)+1,9)-INDEX('Step 4 Stage Discharge'!E$26:M$126,MATCH('Step 6 Quality Check'!C819,'Step 4 Stage Discharge'!E$26:E$126,1),9))*('Step 6 Quality Check'!C819-INDEX('Step 4 Stage Discharge'!E$26:M$126,MATCH('Step 6 Quality Check'!C819,'Step 4 Stage Discharge'!E$26:E$126,1),1))/(INDEX('Step 4 Stage Discharge'!E$26:M$126,MATCH('Step 6 Quality Check'!C819,'Step 4 Stage Discharge'!E$26:E$126,1)+1,1)-INDEX('Step 4 Stage Discharge'!E$26:M$126,MATCH('Step 6 Quality Check'!C819,'Step 4 Stage Discharge'!E$26:E$126,1),1))</f>
        <v>4.3639431710317386E-3</v>
      </c>
      <c r="F819" s="218">
        <f t="shared" si="60"/>
        <v>0</v>
      </c>
      <c r="G819" s="218">
        <f t="shared" si="61"/>
        <v>0</v>
      </c>
    </row>
    <row r="820" spans="1:7">
      <c r="A820" s="217">
        <f t="shared" si="62"/>
        <v>4020</v>
      </c>
      <c r="B820" s="216">
        <f t="shared" si="63"/>
        <v>99.1</v>
      </c>
      <c r="C820" s="218">
        <f t="shared" si="64"/>
        <v>0</v>
      </c>
      <c r="D820" s="219">
        <f>INDEX('Step 4 Stage Discharge'!E$26:F$126,MATCH(C820,'Step 4 Stage Discharge'!E$26:E$126,1),2)+(INDEX('Step 4 Stage Discharge'!E$26:F$126,MATCH(C820,'Step 4 Stage Discharge'!E$26:E$126,1)+1,2)-INDEX('Step 4 Stage Discharge'!E$26:F$126,MATCH(C820,'Step 4 Stage Discharge'!E$26:E$126,1),2))*(C820-INDEX('Step 4 Stage Discharge'!E$26:F$126,MATCH(C820,'Step 4 Stage Discharge'!E$26:E$126,1),1))/(INDEX('Step 4 Stage Discharge'!E$26:F$126,MATCH(C820,'Step 4 Stage Discharge'!E$26:E$126,1)+1,1)-INDEX('Step 4 Stage Discharge'!E$26:F$126,MATCH(C820,'Step 4 Stage Discharge'!E$26:E$126,1),1))</f>
        <v>0</v>
      </c>
      <c r="E820" s="219">
        <f>INDEX('Step 4 Stage Discharge'!E$26:M$126,MATCH(C820,'Step 4 Stage Discharge'!E$26:E$126,1),9)+(INDEX('Step 4 Stage Discharge'!E$26:M$126,MATCH('Step 6 Quality Check'!C820,'Step 4 Stage Discharge'!E$26:E$126,1)+1,9)-INDEX('Step 4 Stage Discharge'!E$26:M$126,MATCH('Step 6 Quality Check'!C820,'Step 4 Stage Discharge'!E$26:E$126,1),9))*('Step 6 Quality Check'!C820-INDEX('Step 4 Stage Discharge'!E$26:M$126,MATCH('Step 6 Quality Check'!C820,'Step 4 Stage Discharge'!E$26:E$126,1),1))/(INDEX('Step 4 Stage Discharge'!E$26:M$126,MATCH('Step 6 Quality Check'!C820,'Step 4 Stage Discharge'!E$26:E$126,1)+1,1)-INDEX('Step 4 Stage Discharge'!E$26:M$126,MATCH('Step 6 Quality Check'!C820,'Step 4 Stage Discharge'!E$26:E$126,1),1))</f>
        <v>4.3639431710317386E-3</v>
      </c>
      <c r="F820" s="218">
        <f t="shared" si="60"/>
        <v>0</v>
      </c>
      <c r="G820" s="218">
        <f t="shared" si="61"/>
        <v>0</v>
      </c>
    </row>
    <row r="821" spans="1:7">
      <c r="A821" s="217">
        <f t="shared" si="62"/>
        <v>4025</v>
      </c>
      <c r="B821" s="216">
        <f t="shared" si="63"/>
        <v>99.1</v>
      </c>
      <c r="C821" s="218">
        <f t="shared" si="64"/>
        <v>0</v>
      </c>
      <c r="D821" s="219">
        <f>INDEX('Step 4 Stage Discharge'!E$26:F$126,MATCH(C821,'Step 4 Stage Discharge'!E$26:E$126,1),2)+(INDEX('Step 4 Stage Discharge'!E$26:F$126,MATCH(C821,'Step 4 Stage Discharge'!E$26:E$126,1)+1,2)-INDEX('Step 4 Stage Discharge'!E$26:F$126,MATCH(C821,'Step 4 Stage Discharge'!E$26:E$126,1),2))*(C821-INDEX('Step 4 Stage Discharge'!E$26:F$126,MATCH(C821,'Step 4 Stage Discharge'!E$26:E$126,1),1))/(INDEX('Step 4 Stage Discharge'!E$26:F$126,MATCH(C821,'Step 4 Stage Discharge'!E$26:E$126,1)+1,1)-INDEX('Step 4 Stage Discharge'!E$26:F$126,MATCH(C821,'Step 4 Stage Discharge'!E$26:E$126,1),1))</f>
        <v>0</v>
      </c>
      <c r="E821" s="219">
        <f>INDEX('Step 4 Stage Discharge'!E$26:M$126,MATCH(C821,'Step 4 Stage Discharge'!E$26:E$126,1),9)+(INDEX('Step 4 Stage Discharge'!E$26:M$126,MATCH('Step 6 Quality Check'!C821,'Step 4 Stage Discharge'!E$26:E$126,1)+1,9)-INDEX('Step 4 Stage Discharge'!E$26:M$126,MATCH('Step 6 Quality Check'!C821,'Step 4 Stage Discharge'!E$26:E$126,1),9))*('Step 6 Quality Check'!C821-INDEX('Step 4 Stage Discharge'!E$26:M$126,MATCH('Step 6 Quality Check'!C821,'Step 4 Stage Discharge'!E$26:E$126,1),1))/(INDEX('Step 4 Stage Discharge'!E$26:M$126,MATCH('Step 6 Quality Check'!C821,'Step 4 Stage Discharge'!E$26:E$126,1)+1,1)-INDEX('Step 4 Stage Discharge'!E$26:M$126,MATCH('Step 6 Quality Check'!C821,'Step 4 Stage Discharge'!E$26:E$126,1),1))</f>
        <v>4.3639431710317386E-3</v>
      </c>
      <c r="F821" s="218">
        <f t="shared" si="60"/>
        <v>0</v>
      </c>
      <c r="G821" s="218">
        <f t="shared" si="61"/>
        <v>0</v>
      </c>
    </row>
    <row r="822" spans="1:7">
      <c r="A822" s="217">
        <f t="shared" si="62"/>
        <v>4030</v>
      </c>
      <c r="B822" s="216">
        <f t="shared" si="63"/>
        <v>99.1</v>
      </c>
      <c r="C822" s="218">
        <f t="shared" si="64"/>
        <v>0</v>
      </c>
      <c r="D822" s="219">
        <f>INDEX('Step 4 Stage Discharge'!E$26:F$126,MATCH(C822,'Step 4 Stage Discharge'!E$26:E$126,1),2)+(INDEX('Step 4 Stage Discharge'!E$26:F$126,MATCH(C822,'Step 4 Stage Discharge'!E$26:E$126,1)+1,2)-INDEX('Step 4 Stage Discharge'!E$26:F$126,MATCH(C822,'Step 4 Stage Discharge'!E$26:E$126,1),2))*(C822-INDEX('Step 4 Stage Discharge'!E$26:F$126,MATCH(C822,'Step 4 Stage Discharge'!E$26:E$126,1),1))/(INDEX('Step 4 Stage Discharge'!E$26:F$126,MATCH(C822,'Step 4 Stage Discharge'!E$26:E$126,1)+1,1)-INDEX('Step 4 Stage Discharge'!E$26:F$126,MATCH(C822,'Step 4 Stage Discharge'!E$26:E$126,1),1))</f>
        <v>0</v>
      </c>
      <c r="E822" s="219">
        <f>INDEX('Step 4 Stage Discharge'!E$26:M$126,MATCH(C822,'Step 4 Stage Discharge'!E$26:E$126,1),9)+(INDEX('Step 4 Stage Discharge'!E$26:M$126,MATCH('Step 6 Quality Check'!C822,'Step 4 Stage Discharge'!E$26:E$126,1)+1,9)-INDEX('Step 4 Stage Discharge'!E$26:M$126,MATCH('Step 6 Quality Check'!C822,'Step 4 Stage Discharge'!E$26:E$126,1),9))*('Step 6 Quality Check'!C822-INDEX('Step 4 Stage Discharge'!E$26:M$126,MATCH('Step 6 Quality Check'!C822,'Step 4 Stage Discharge'!E$26:E$126,1),1))/(INDEX('Step 4 Stage Discharge'!E$26:M$126,MATCH('Step 6 Quality Check'!C822,'Step 4 Stage Discharge'!E$26:E$126,1)+1,1)-INDEX('Step 4 Stage Discharge'!E$26:M$126,MATCH('Step 6 Quality Check'!C822,'Step 4 Stage Discharge'!E$26:E$126,1),1))</f>
        <v>4.3639431710317386E-3</v>
      </c>
      <c r="F822" s="218">
        <f t="shared" si="60"/>
        <v>0</v>
      </c>
      <c r="G822" s="218">
        <f t="shared" si="61"/>
        <v>0</v>
      </c>
    </row>
    <row r="823" spans="1:7">
      <c r="A823" s="217">
        <f t="shared" si="62"/>
        <v>4035</v>
      </c>
      <c r="B823" s="216">
        <f t="shared" si="63"/>
        <v>99.1</v>
      </c>
      <c r="C823" s="218">
        <f t="shared" si="64"/>
        <v>0</v>
      </c>
      <c r="D823" s="219">
        <f>INDEX('Step 4 Stage Discharge'!E$26:F$126,MATCH(C823,'Step 4 Stage Discharge'!E$26:E$126,1),2)+(INDEX('Step 4 Stage Discharge'!E$26:F$126,MATCH(C823,'Step 4 Stage Discharge'!E$26:E$126,1)+1,2)-INDEX('Step 4 Stage Discharge'!E$26:F$126,MATCH(C823,'Step 4 Stage Discharge'!E$26:E$126,1),2))*(C823-INDEX('Step 4 Stage Discharge'!E$26:F$126,MATCH(C823,'Step 4 Stage Discharge'!E$26:E$126,1),1))/(INDEX('Step 4 Stage Discharge'!E$26:F$126,MATCH(C823,'Step 4 Stage Discharge'!E$26:E$126,1)+1,1)-INDEX('Step 4 Stage Discharge'!E$26:F$126,MATCH(C823,'Step 4 Stage Discharge'!E$26:E$126,1),1))</f>
        <v>0</v>
      </c>
      <c r="E823" s="219">
        <f>INDEX('Step 4 Stage Discharge'!E$26:M$126,MATCH(C823,'Step 4 Stage Discharge'!E$26:E$126,1),9)+(INDEX('Step 4 Stage Discharge'!E$26:M$126,MATCH('Step 6 Quality Check'!C823,'Step 4 Stage Discharge'!E$26:E$126,1)+1,9)-INDEX('Step 4 Stage Discharge'!E$26:M$126,MATCH('Step 6 Quality Check'!C823,'Step 4 Stage Discharge'!E$26:E$126,1),9))*('Step 6 Quality Check'!C823-INDEX('Step 4 Stage Discharge'!E$26:M$126,MATCH('Step 6 Quality Check'!C823,'Step 4 Stage Discharge'!E$26:E$126,1),1))/(INDEX('Step 4 Stage Discharge'!E$26:M$126,MATCH('Step 6 Quality Check'!C823,'Step 4 Stage Discharge'!E$26:E$126,1)+1,1)-INDEX('Step 4 Stage Discharge'!E$26:M$126,MATCH('Step 6 Quality Check'!C823,'Step 4 Stage Discharge'!E$26:E$126,1),1))</f>
        <v>4.3639431710317386E-3</v>
      </c>
      <c r="F823" s="218">
        <f t="shared" si="60"/>
        <v>0</v>
      </c>
      <c r="G823" s="218">
        <f t="shared" si="61"/>
        <v>0</v>
      </c>
    </row>
    <row r="824" spans="1:7">
      <c r="A824" s="217">
        <f t="shared" si="62"/>
        <v>4040</v>
      </c>
      <c r="B824" s="216">
        <f t="shared" si="63"/>
        <v>99.1</v>
      </c>
      <c r="C824" s="218">
        <f t="shared" si="64"/>
        <v>0</v>
      </c>
      <c r="D824" s="219">
        <f>INDEX('Step 4 Stage Discharge'!E$26:F$126,MATCH(C824,'Step 4 Stage Discharge'!E$26:E$126,1),2)+(INDEX('Step 4 Stage Discharge'!E$26:F$126,MATCH(C824,'Step 4 Stage Discharge'!E$26:E$126,1)+1,2)-INDEX('Step 4 Stage Discharge'!E$26:F$126,MATCH(C824,'Step 4 Stage Discharge'!E$26:E$126,1),2))*(C824-INDEX('Step 4 Stage Discharge'!E$26:F$126,MATCH(C824,'Step 4 Stage Discharge'!E$26:E$126,1),1))/(INDEX('Step 4 Stage Discharge'!E$26:F$126,MATCH(C824,'Step 4 Stage Discharge'!E$26:E$126,1)+1,1)-INDEX('Step 4 Stage Discharge'!E$26:F$126,MATCH(C824,'Step 4 Stage Discharge'!E$26:E$126,1),1))</f>
        <v>0</v>
      </c>
      <c r="E824" s="219">
        <f>INDEX('Step 4 Stage Discharge'!E$26:M$126,MATCH(C824,'Step 4 Stage Discharge'!E$26:E$126,1),9)+(INDEX('Step 4 Stage Discharge'!E$26:M$126,MATCH('Step 6 Quality Check'!C824,'Step 4 Stage Discharge'!E$26:E$126,1)+1,9)-INDEX('Step 4 Stage Discharge'!E$26:M$126,MATCH('Step 6 Quality Check'!C824,'Step 4 Stage Discharge'!E$26:E$126,1),9))*('Step 6 Quality Check'!C824-INDEX('Step 4 Stage Discharge'!E$26:M$126,MATCH('Step 6 Quality Check'!C824,'Step 4 Stage Discharge'!E$26:E$126,1),1))/(INDEX('Step 4 Stage Discharge'!E$26:M$126,MATCH('Step 6 Quality Check'!C824,'Step 4 Stage Discharge'!E$26:E$126,1)+1,1)-INDEX('Step 4 Stage Discharge'!E$26:M$126,MATCH('Step 6 Quality Check'!C824,'Step 4 Stage Discharge'!E$26:E$126,1),1))</f>
        <v>4.3639431710317386E-3</v>
      </c>
      <c r="F824" s="218">
        <f t="shared" si="60"/>
        <v>0</v>
      </c>
      <c r="G824" s="218">
        <f t="shared" si="61"/>
        <v>0</v>
      </c>
    </row>
    <row r="825" spans="1:7">
      <c r="A825" s="217">
        <f t="shared" si="62"/>
        <v>4045</v>
      </c>
      <c r="B825" s="216">
        <f t="shared" si="63"/>
        <v>99.1</v>
      </c>
      <c r="C825" s="218">
        <f t="shared" si="64"/>
        <v>0</v>
      </c>
      <c r="D825" s="219">
        <f>INDEX('Step 4 Stage Discharge'!E$26:F$126,MATCH(C825,'Step 4 Stage Discharge'!E$26:E$126,1),2)+(INDEX('Step 4 Stage Discharge'!E$26:F$126,MATCH(C825,'Step 4 Stage Discharge'!E$26:E$126,1)+1,2)-INDEX('Step 4 Stage Discharge'!E$26:F$126,MATCH(C825,'Step 4 Stage Discharge'!E$26:E$126,1),2))*(C825-INDEX('Step 4 Stage Discharge'!E$26:F$126,MATCH(C825,'Step 4 Stage Discharge'!E$26:E$126,1),1))/(INDEX('Step 4 Stage Discharge'!E$26:F$126,MATCH(C825,'Step 4 Stage Discharge'!E$26:E$126,1)+1,1)-INDEX('Step 4 Stage Discharge'!E$26:F$126,MATCH(C825,'Step 4 Stage Discharge'!E$26:E$126,1),1))</f>
        <v>0</v>
      </c>
      <c r="E825" s="219">
        <f>INDEX('Step 4 Stage Discharge'!E$26:M$126,MATCH(C825,'Step 4 Stage Discharge'!E$26:E$126,1),9)+(INDEX('Step 4 Stage Discharge'!E$26:M$126,MATCH('Step 6 Quality Check'!C825,'Step 4 Stage Discharge'!E$26:E$126,1)+1,9)-INDEX('Step 4 Stage Discharge'!E$26:M$126,MATCH('Step 6 Quality Check'!C825,'Step 4 Stage Discharge'!E$26:E$126,1),9))*('Step 6 Quality Check'!C825-INDEX('Step 4 Stage Discharge'!E$26:M$126,MATCH('Step 6 Quality Check'!C825,'Step 4 Stage Discharge'!E$26:E$126,1),1))/(INDEX('Step 4 Stage Discharge'!E$26:M$126,MATCH('Step 6 Quality Check'!C825,'Step 4 Stage Discharge'!E$26:E$126,1)+1,1)-INDEX('Step 4 Stage Discharge'!E$26:M$126,MATCH('Step 6 Quality Check'!C825,'Step 4 Stage Discharge'!E$26:E$126,1),1))</f>
        <v>4.3639431710317386E-3</v>
      </c>
      <c r="F825" s="218">
        <f t="shared" si="60"/>
        <v>0</v>
      </c>
      <c r="G825" s="218">
        <f t="shared" si="61"/>
        <v>0</v>
      </c>
    </row>
    <row r="826" spans="1:7">
      <c r="A826" s="217">
        <f t="shared" si="62"/>
        <v>4050</v>
      </c>
      <c r="B826" s="216">
        <f t="shared" si="63"/>
        <v>99.1</v>
      </c>
      <c r="C826" s="218">
        <f t="shared" si="64"/>
        <v>0</v>
      </c>
      <c r="D826" s="219">
        <f>INDEX('Step 4 Stage Discharge'!E$26:F$126,MATCH(C826,'Step 4 Stage Discharge'!E$26:E$126,1),2)+(INDEX('Step 4 Stage Discharge'!E$26:F$126,MATCH(C826,'Step 4 Stage Discharge'!E$26:E$126,1)+1,2)-INDEX('Step 4 Stage Discharge'!E$26:F$126,MATCH(C826,'Step 4 Stage Discharge'!E$26:E$126,1),2))*(C826-INDEX('Step 4 Stage Discharge'!E$26:F$126,MATCH(C826,'Step 4 Stage Discharge'!E$26:E$126,1),1))/(INDEX('Step 4 Stage Discharge'!E$26:F$126,MATCH(C826,'Step 4 Stage Discharge'!E$26:E$126,1)+1,1)-INDEX('Step 4 Stage Discharge'!E$26:F$126,MATCH(C826,'Step 4 Stage Discharge'!E$26:E$126,1),1))</f>
        <v>0</v>
      </c>
      <c r="E826" s="219">
        <f>INDEX('Step 4 Stage Discharge'!E$26:M$126,MATCH(C826,'Step 4 Stage Discharge'!E$26:E$126,1),9)+(INDEX('Step 4 Stage Discharge'!E$26:M$126,MATCH('Step 6 Quality Check'!C826,'Step 4 Stage Discharge'!E$26:E$126,1)+1,9)-INDEX('Step 4 Stage Discharge'!E$26:M$126,MATCH('Step 6 Quality Check'!C826,'Step 4 Stage Discharge'!E$26:E$126,1),9))*('Step 6 Quality Check'!C826-INDEX('Step 4 Stage Discharge'!E$26:M$126,MATCH('Step 6 Quality Check'!C826,'Step 4 Stage Discharge'!E$26:E$126,1),1))/(INDEX('Step 4 Stage Discharge'!E$26:M$126,MATCH('Step 6 Quality Check'!C826,'Step 4 Stage Discharge'!E$26:E$126,1)+1,1)-INDEX('Step 4 Stage Discharge'!E$26:M$126,MATCH('Step 6 Quality Check'!C826,'Step 4 Stage Discharge'!E$26:E$126,1),1))</f>
        <v>4.3639431710317386E-3</v>
      </c>
      <c r="F826" s="218">
        <f t="shared" si="60"/>
        <v>0</v>
      </c>
      <c r="G826" s="218">
        <f t="shared" si="61"/>
        <v>0</v>
      </c>
    </row>
    <row r="827" spans="1:7">
      <c r="A827" s="217">
        <f t="shared" si="62"/>
        <v>4055</v>
      </c>
      <c r="B827" s="216">
        <f t="shared" si="63"/>
        <v>99.1</v>
      </c>
      <c r="C827" s="218">
        <f t="shared" si="64"/>
        <v>0</v>
      </c>
      <c r="D827" s="219">
        <f>INDEX('Step 4 Stage Discharge'!E$26:F$126,MATCH(C827,'Step 4 Stage Discharge'!E$26:E$126,1),2)+(INDEX('Step 4 Stage Discharge'!E$26:F$126,MATCH(C827,'Step 4 Stage Discharge'!E$26:E$126,1)+1,2)-INDEX('Step 4 Stage Discharge'!E$26:F$126,MATCH(C827,'Step 4 Stage Discharge'!E$26:E$126,1),2))*(C827-INDEX('Step 4 Stage Discharge'!E$26:F$126,MATCH(C827,'Step 4 Stage Discharge'!E$26:E$126,1),1))/(INDEX('Step 4 Stage Discharge'!E$26:F$126,MATCH(C827,'Step 4 Stage Discharge'!E$26:E$126,1)+1,1)-INDEX('Step 4 Stage Discharge'!E$26:F$126,MATCH(C827,'Step 4 Stage Discharge'!E$26:E$126,1),1))</f>
        <v>0</v>
      </c>
      <c r="E827" s="219">
        <f>INDEX('Step 4 Stage Discharge'!E$26:M$126,MATCH(C827,'Step 4 Stage Discharge'!E$26:E$126,1),9)+(INDEX('Step 4 Stage Discharge'!E$26:M$126,MATCH('Step 6 Quality Check'!C827,'Step 4 Stage Discharge'!E$26:E$126,1)+1,9)-INDEX('Step 4 Stage Discharge'!E$26:M$126,MATCH('Step 6 Quality Check'!C827,'Step 4 Stage Discharge'!E$26:E$126,1),9))*('Step 6 Quality Check'!C827-INDEX('Step 4 Stage Discharge'!E$26:M$126,MATCH('Step 6 Quality Check'!C827,'Step 4 Stage Discharge'!E$26:E$126,1),1))/(INDEX('Step 4 Stage Discharge'!E$26:M$126,MATCH('Step 6 Quality Check'!C827,'Step 4 Stage Discharge'!E$26:E$126,1)+1,1)-INDEX('Step 4 Stage Discharge'!E$26:M$126,MATCH('Step 6 Quality Check'!C827,'Step 4 Stage Discharge'!E$26:E$126,1),1))</f>
        <v>4.3639431710317386E-3</v>
      </c>
      <c r="F827" s="218">
        <f t="shared" si="60"/>
        <v>0</v>
      </c>
      <c r="G827" s="218">
        <f t="shared" si="61"/>
        <v>0</v>
      </c>
    </row>
    <row r="828" spans="1:7">
      <c r="A828" s="217">
        <f t="shared" si="62"/>
        <v>4060</v>
      </c>
      <c r="B828" s="216">
        <f t="shared" si="63"/>
        <v>99.1</v>
      </c>
      <c r="C828" s="218">
        <f t="shared" si="64"/>
        <v>0</v>
      </c>
      <c r="D828" s="219">
        <f>INDEX('Step 4 Stage Discharge'!E$26:F$126,MATCH(C828,'Step 4 Stage Discharge'!E$26:E$126,1),2)+(INDEX('Step 4 Stage Discharge'!E$26:F$126,MATCH(C828,'Step 4 Stage Discharge'!E$26:E$126,1)+1,2)-INDEX('Step 4 Stage Discharge'!E$26:F$126,MATCH(C828,'Step 4 Stage Discharge'!E$26:E$126,1),2))*(C828-INDEX('Step 4 Stage Discharge'!E$26:F$126,MATCH(C828,'Step 4 Stage Discharge'!E$26:E$126,1),1))/(INDEX('Step 4 Stage Discharge'!E$26:F$126,MATCH(C828,'Step 4 Stage Discharge'!E$26:E$126,1)+1,1)-INDEX('Step 4 Stage Discharge'!E$26:F$126,MATCH(C828,'Step 4 Stage Discharge'!E$26:E$126,1),1))</f>
        <v>0</v>
      </c>
      <c r="E828" s="219">
        <f>INDEX('Step 4 Stage Discharge'!E$26:M$126,MATCH(C828,'Step 4 Stage Discharge'!E$26:E$126,1),9)+(INDEX('Step 4 Stage Discharge'!E$26:M$126,MATCH('Step 6 Quality Check'!C828,'Step 4 Stage Discharge'!E$26:E$126,1)+1,9)-INDEX('Step 4 Stage Discharge'!E$26:M$126,MATCH('Step 6 Quality Check'!C828,'Step 4 Stage Discharge'!E$26:E$126,1),9))*('Step 6 Quality Check'!C828-INDEX('Step 4 Stage Discharge'!E$26:M$126,MATCH('Step 6 Quality Check'!C828,'Step 4 Stage Discharge'!E$26:E$126,1),1))/(INDEX('Step 4 Stage Discharge'!E$26:M$126,MATCH('Step 6 Quality Check'!C828,'Step 4 Stage Discharge'!E$26:E$126,1)+1,1)-INDEX('Step 4 Stage Discharge'!E$26:M$126,MATCH('Step 6 Quality Check'!C828,'Step 4 Stage Discharge'!E$26:E$126,1),1))</f>
        <v>4.3639431710317386E-3</v>
      </c>
      <c r="F828" s="218">
        <f t="shared" si="60"/>
        <v>0</v>
      </c>
      <c r="G828" s="218">
        <f t="shared" si="61"/>
        <v>0</v>
      </c>
    </row>
    <row r="829" spans="1:7">
      <c r="A829" s="217">
        <f t="shared" si="62"/>
        <v>4065</v>
      </c>
      <c r="B829" s="216">
        <f t="shared" si="63"/>
        <v>99.1</v>
      </c>
      <c r="C829" s="218">
        <f t="shared" si="64"/>
        <v>0</v>
      </c>
      <c r="D829" s="219">
        <f>INDEX('Step 4 Stage Discharge'!E$26:F$126,MATCH(C829,'Step 4 Stage Discharge'!E$26:E$126,1),2)+(INDEX('Step 4 Stage Discharge'!E$26:F$126,MATCH(C829,'Step 4 Stage Discharge'!E$26:E$126,1)+1,2)-INDEX('Step 4 Stage Discharge'!E$26:F$126,MATCH(C829,'Step 4 Stage Discharge'!E$26:E$126,1),2))*(C829-INDEX('Step 4 Stage Discharge'!E$26:F$126,MATCH(C829,'Step 4 Stage Discharge'!E$26:E$126,1),1))/(INDEX('Step 4 Stage Discharge'!E$26:F$126,MATCH(C829,'Step 4 Stage Discharge'!E$26:E$126,1)+1,1)-INDEX('Step 4 Stage Discharge'!E$26:F$126,MATCH(C829,'Step 4 Stage Discharge'!E$26:E$126,1),1))</f>
        <v>0</v>
      </c>
      <c r="E829" s="219">
        <f>INDEX('Step 4 Stage Discharge'!E$26:M$126,MATCH(C829,'Step 4 Stage Discharge'!E$26:E$126,1),9)+(INDEX('Step 4 Stage Discharge'!E$26:M$126,MATCH('Step 6 Quality Check'!C829,'Step 4 Stage Discharge'!E$26:E$126,1)+1,9)-INDEX('Step 4 Stage Discharge'!E$26:M$126,MATCH('Step 6 Quality Check'!C829,'Step 4 Stage Discharge'!E$26:E$126,1),9))*('Step 6 Quality Check'!C829-INDEX('Step 4 Stage Discharge'!E$26:M$126,MATCH('Step 6 Quality Check'!C829,'Step 4 Stage Discharge'!E$26:E$126,1),1))/(INDEX('Step 4 Stage Discharge'!E$26:M$126,MATCH('Step 6 Quality Check'!C829,'Step 4 Stage Discharge'!E$26:E$126,1)+1,1)-INDEX('Step 4 Stage Discharge'!E$26:M$126,MATCH('Step 6 Quality Check'!C829,'Step 4 Stage Discharge'!E$26:E$126,1),1))</f>
        <v>4.3639431710317386E-3</v>
      </c>
      <c r="F829" s="218">
        <f t="shared" si="60"/>
        <v>0</v>
      </c>
      <c r="G829" s="218">
        <f t="shared" si="61"/>
        <v>0</v>
      </c>
    </row>
    <row r="830" spans="1:7">
      <c r="A830" s="217">
        <f t="shared" si="62"/>
        <v>4070</v>
      </c>
      <c r="B830" s="216">
        <f t="shared" si="63"/>
        <v>99.1</v>
      </c>
      <c r="C830" s="218">
        <f t="shared" si="64"/>
        <v>0</v>
      </c>
      <c r="D830" s="219">
        <f>INDEX('Step 4 Stage Discharge'!E$26:F$126,MATCH(C830,'Step 4 Stage Discharge'!E$26:E$126,1),2)+(INDEX('Step 4 Stage Discharge'!E$26:F$126,MATCH(C830,'Step 4 Stage Discharge'!E$26:E$126,1)+1,2)-INDEX('Step 4 Stage Discharge'!E$26:F$126,MATCH(C830,'Step 4 Stage Discharge'!E$26:E$126,1),2))*(C830-INDEX('Step 4 Stage Discharge'!E$26:F$126,MATCH(C830,'Step 4 Stage Discharge'!E$26:E$126,1),1))/(INDEX('Step 4 Stage Discharge'!E$26:F$126,MATCH(C830,'Step 4 Stage Discharge'!E$26:E$126,1)+1,1)-INDEX('Step 4 Stage Discharge'!E$26:F$126,MATCH(C830,'Step 4 Stage Discharge'!E$26:E$126,1),1))</f>
        <v>0</v>
      </c>
      <c r="E830" s="219">
        <f>INDEX('Step 4 Stage Discharge'!E$26:M$126,MATCH(C830,'Step 4 Stage Discharge'!E$26:E$126,1),9)+(INDEX('Step 4 Stage Discharge'!E$26:M$126,MATCH('Step 6 Quality Check'!C830,'Step 4 Stage Discharge'!E$26:E$126,1)+1,9)-INDEX('Step 4 Stage Discharge'!E$26:M$126,MATCH('Step 6 Quality Check'!C830,'Step 4 Stage Discharge'!E$26:E$126,1),9))*('Step 6 Quality Check'!C830-INDEX('Step 4 Stage Discharge'!E$26:M$126,MATCH('Step 6 Quality Check'!C830,'Step 4 Stage Discharge'!E$26:E$126,1),1))/(INDEX('Step 4 Stage Discharge'!E$26:M$126,MATCH('Step 6 Quality Check'!C830,'Step 4 Stage Discharge'!E$26:E$126,1)+1,1)-INDEX('Step 4 Stage Discharge'!E$26:M$126,MATCH('Step 6 Quality Check'!C830,'Step 4 Stage Discharge'!E$26:E$126,1),1))</f>
        <v>4.3639431710317386E-3</v>
      </c>
      <c r="F830" s="218">
        <f t="shared" si="60"/>
        <v>0</v>
      </c>
      <c r="G830" s="218">
        <f t="shared" si="61"/>
        <v>0</v>
      </c>
    </row>
    <row r="831" spans="1:7">
      <c r="A831" s="217">
        <f t="shared" si="62"/>
        <v>4075</v>
      </c>
      <c r="B831" s="216">
        <f t="shared" si="63"/>
        <v>99.1</v>
      </c>
      <c r="C831" s="218">
        <f t="shared" si="64"/>
        <v>0</v>
      </c>
      <c r="D831" s="219">
        <f>INDEX('Step 4 Stage Discharge'!E$26:F$126,MATCH(C831,'Step 4 Stage Discharge'!E$26:E$126,1),2)+(INDEX('Step 4 Stage Discharge'!E$26:F$126,MATCH(C831,'Step 4 Stage Discharge'!E$26:E$126,1)+1,2)-INDEX('Step 4 Stage Discharge'!E$26:F$126,MATCH(C831,'Step 4 Stage Discharge'!E$26:E$126,1),2))*(C831-INDEX('Step 4 Stage Discharge'!E$26:F$126,MATCH(C831,'Step 4 Stage Discharge'!E$26:E$126,1),1))/(INDEX('Step 4 Stage Discharge'!E$26:F$126,MATCH(C831,'Step 4 Stage Discharge'!E$26:E$126,1)+1,1)-INDEX('Step 4 Stage Discharge'!E$26:F$126,MATCH(C831,'Step 4 Stage Discharge'!E$26:E$126,1),1))</f>
        <v>0</v>
      </c>
      <c r="E831" s="219">
        <f>INDEX('Step 4 Stage Discharge'!E$26:M$126,MATCH(C831,'Step 4 Stage Discharge'!E$26:E$126,1),9)+(INDEX('Step 4 Stage Discharge'!E$26:M$126,MATCH('Step 6 Quality Check'!C831,'Step 4 Stage Discharge'!E$26:E$126,1)+1,9)-INDEX('Step 4 Stage Discharge'!E$26:M$126,MATCH('Step 6 Quality Check'!C831,'Step 4 Stage Discharge'!E$26:E$126,1),9))*('Step 6 Quality Check'!C831-INDEX('Step 4 Stage Discharge'!E$26:M$126,MATCH('Step 6 Quality Check'!C831,'Step 4 Stage Discharge'!E$26:E$126,1),1))/(INDEX('Step 4 Stage Discharge'!E$26:M$126,MATCH('Step 6 Quality Check'!C831,'Step 4 Stage Discharge'!E$26:E$126,1)+1,1)-INDEX('Step 4 Stage Discharge'!E$26:M$126,MATCH('Step 6 Quality Check'!C831,'Step 4 Stage Discharge'!E$26:E$126,1),1))</f>
        <v>4.3639431710317386E-3</v>
      </c>
      <c r="F831" s="218">
        <f t="shared" si="60"/>
        <v>0</v>
      </c>
      <c r="G831" s="218">
        <f t="shared" si="61"/>
        <v>0</v>
      </c>
    </row>
    <row r="832" spans="1:7">
      <c r="A832" s="217">
        <f t="shared" si="62"/>
        <v>4080</v>
      </c>
      <c r="B832" s="216">
        <f t="shared" si="63"/>
        <v>99.1</v>
      </c>
      <c r="C832" s="218">
        <f t="shared" si="64"/>
        <v>0</v>
      </c>
      <c r="D832" s="219">
        <f>INDEX('Step 4 Stage Discharge'!E$26:F$126,MATCH(C832,'Step 4 Stage Discharge'!E$26:E$126,1),2)+(INDEX('Step 4 Stage Discharge'!E$26:F$126,MATCH(C832,'Step 4 Stage Discharge'!E$26:E$126,1)+1,2)-INDEX('Step 4 Stage Discharge'!E$26:F$126,MATCH(C832,'Step 4 Stage Discharge'!E$26:E$126,1),2))*(C832-INDEX('Step 4 Stage Discharge'!E$26:F$126,MATCH(C832,'Step 4 Stage Discharge'!E$26:E$126,1),1))/(INDEX('Step 4 Stage Discharge'!E$26:F$126,MATCH(C832,'Step 4 Stage Discharge'!E$26:E$126,1)+1,1)-INDEX('Step 4 Stage Discharge'!E$26:F$126,MATCH(C832,'Step 4 Stage Discharge'!E$26:E$126,1),1))</f>
        <v>0</v>
      </c>
      <c r="E832" s="219">
        <f>INDEX('Step 4 Stage Discharge'!E$26:M$126,MATCH(C832,'Step 4 Stage Discharge'!E$26:E$126,1),9)+(INDEX('Step 4 Stage Discharge'!E$26:M$126,MATCH('Step 6 Quality Check'!C832,'Step 4 Stage Discharge'!E$26:E$126,1)+1,9)-INDEX('Step 4 Stage Discharge'!E$26:M$126,MATCH('Step 6 Quality Check'!C832,'Step 4 Stage Discharge'!E$26:E$126,1),9))*('Step 6 Quality Check'!C832-INDEX('Step 4 Stage Discharge'!E$26:M$126,MATCH('Step 6 Quality Check'!C832,'Step 4 Stage Discharge'!E$26:E$126,1),1))/(INDEX('Step 4 Stage Discharge'!E$26:M$126,MATCH('Step 6 Quality Check'!C832,'Step 4 Stage Discharge'!E$26:E$126,1)+1,1)-INDEX('Step 4 Stage Discharge'!E$26:M$126,MATCH('Step 6 Quality Check'!C832,'Step 4 Stage Discharge'!E$26:E$126,1),1))</f>
        <v>4.3639431710317386E-3</v>
      </c>
      <c r="F832" s="218">
        <f t="shared" si="60"/>
        <v>0</v>
      </c>
      <c r="G832" s="218">
        <f t="shared" si="61"/>
        <v>0</v>
      </c>
    </row>
    <row r="833" spans="1:7">
      <c r="A833" s="217">
        <f t="shared" si="62"/>
        <v>4085</v>
      </c>
      <c r="B833" s="216">
        <f t="shared" si="63"/>
        <v>99.1</v>
      </c>
      <c r="C833" s="218">
        <f t="shared" si="64"/>
        <v>0</v>
      </c>
      <c r="D833" s="219">
        <f>INDEX('Step 4 Stage Discharge'!E$26:F$126,MATCH(C833,'Step 4 Stage Discharge'!E$26:E$126,1),2)+(INDEX('Step 4 Stage Discharge'!E$26:F$126,MATCH(C833,'Step 4 Stage Discharge'!E$26:E$126,1)+1,2)-INDEX('Step 4 Stage Discharge'!E$26:F$126,MATCH(C833,'Step 4 Stage Discharge'!E$26:E$126,1),2))*(C833-INDEX('Step 4 Stage Discharge'!E$26:F$126,MATCH(C833,'Step 4 Stage Discharge'!E$26:E$126,1),1))/(INDEX('Step 4 Stage Discharge'!E$26:F$126,MATCH(C833,'Step 4 Stage Discharge'!E$26:E$126,1)+1,1)-INDEX('Step 4 Stage Discharge'!E$26:F$126,MATCH(C833,'Step 4 Stage Discharge'!E$26:E$126,1),1))</f>
        <v>0</v>
      </c>
      <c r="E833" s="219">
        <f>INDEX('Step 4 Stage Discharge'!E$26:M$126,MATCH(C833,'Step 4 Stage Discharge'!E$26:E$126,1),9)+(INDEX('Step 4 Stage Discharge'!E$26:M$126,MATCH('Step 6 Quality Check'!C833,'Step 4 Stage Discharge'!E$26:E$126,1)+1,9)-INDEX('Step 4 Stage Discharge'!E$26:M$126,MATCH('Step 6 Quality Check'!C833,'Step 4 Stage Discharge'!E$26:E$126,1),9))*('Step 6 Quality Check'!C833-INDEX('Step 4 Stage Discharge'!E$26:M$126,MATCH('Step 6 Quality Check'!C833,'Step 4 Stage Discharge'!E$26:E$126,1),1))/(INDEX('Step 4 Stage Discharge'!E$26:M$126,MATCH('Step 6 Quality Check'!C833,'Step 4 Stage Discharge'!E$26:E$126,1)+1,1)-INDEX('Step 4 Stage Discharge'!E$26:M$126,MATCH('Step 6 Quality Check'!C833,'Step 4 Stage Discharge'!E$26:E$126,1),1))</f>
        <v>4.3639431710317386E-3</v>
      </c>
      <c r="F833" s="218">
        <f t="shared" si="60"/>
        <v>0</v>
      </c>
      <c r="G833" s="218">
        <f t="shared" si="61"/>
        <v>0</v>
      </c>
    </row>
    <row r="834" spans="1:7">
      <c r="A834" s="217">
        <f t="shared" si="62"/>
        <v>4090</v>
      </c>
      <c r="B834" s="216">
        <f t="shared" si="63"/>
        <v>99.1</v>
      </c>
      <c r="C834" s="218">
        <f t="shared" si="64"/>
        <v>0</v>
      </c>
      <c r="D834" s="219">
        <f>INDEX('Step 4 Stage Discharge'!E$26:F$126,MATCH(C834,'Step 4 Stage Discharge'!E$26:E$126,1),2)+(INDEX('Step 4 Stage Discharge'!E$26:F$126,MATCH(C834,'Step 4 Stage Discharge'!E$26:E$126,1)+1,2)-INDEX('Step 4 Stage Discharge'!E$26:F$126,MATCH(C834,'Step 4 Stage Discharge'!E$26:E$126,1),2))*(C834-INDEX('Step 4 Stage Discharge'!E$26:F$126,MATCH(C834,'Step 4 Stage Discharge'!E$26:E$126,1),1))/(INDEX('Step 4 Stage Discharge'!E$26:F$126,MATCH(C834,'Step 4 Stage Discharge'!E$26:E$126,1)+1,1)-INDEX('Step 4 Stage Discharge'!E$26:F$126,MATCH(C834,'Step 4 Stage Discharge'!E$26:E$126,1),1))</f>
        <v>0</v>
      </c>
      <c r="E834" s="219">
        <f>INDEX('Step 4 Stage Discharge'!E$26:M$126,MATCH(C834,'Step 4 Stage Discharge'!E$26:E$126,1),9)+(INDEX('Step 4 Stage Discharge'!E$26:M$126,MATCH('Step 6 Quality Check'!C834,'Step 4 Stage Discharge'!E$26:E$126,1)+1,9)-INDEX('Step 4 Stage Discharge'!E$26:M$126,MATCH('Step 6 Quality Check'!C834,'Step 4 Stage Discharge'!E$26:E$126,1),9))*('Step 6 Quality Check'!C834-INDEX('Step 4 Stage Discharge'!E$26:M$126,MATCH('Step 6 Quality Check'!C834,'Step 4 Stage Discharge'!E$26:E$126,1),1))/(INDEX('Step 4 Stage Discharge'!E$26:M$126,MATCH('Step 6 Quality Check'!C834,'Step 4 Stage Discharge'!E$26:E$126,1)+1,1)-INDEX('Step 4 Stage Discharge'!E$26:M$126,MATCH('Step 6 Quality Check'!C834,'Step 4 Stage Discharge'!E$26:E$126,1),1))</f>
        <v>4.3639431710317386E-3</v>
      </c>
      <c r="F834" s="218">
        <f t="shared" si="60"/>
        <v>0</v>
      </c>
      <c r="G834" s="218">
        <f t="shared" si="61"/>
        <v>0</v>
      </c>
    </row>
    <row r="835" spans="1:7">
      <c r="A835" s="217">
        <f t="shared" si="62"/>
        <v>4095</v>
      </c>
      <c r="B835" s="216">
        <f t="shared" si="63"/>
        <v>99.1</v>
      </c>
      <c r="C835" s="218">
        <f t="shared" si="64"/>
        <v>0</v>
      </c>
      <c r="D835" s="219">
        <f>INDEX('Step 4 Stage Discharge'!E$26:F$126,MATCH(C835,'Step 4 Stage Discharge'!E$26:E$126,1),2)+(INDEX('Step 4 Stage Discharge'!E$26:F$126,MATCH(C835,'Step 4 Stage Discharge'!E$26:E$126,1)+1,2)-INDEX('Step 4 Stage Discharge'!E$26:F$126,MATCH(C835,'Step 4 Stage Discharge'!E$26:E$126,1),2))*(C835-INDEX('Step 4 Stage Discharge'!E$26:F$126,MATCH(C835,'Step 4 Stage Discharge'!E$26:E$126,1),1))/(INDEX('Step 4 Stage Discharge'!E$26:F$126,MATCH(C835,'Step 4 Stage Discharge'!E$26:E$126,1)+1,1)-INDEX('Step 4 Stage Discharge'!E$26:F$126,MATCH(C835,'Step 4 Stage Discharge'!E$26:E$126,1),1))</f>
        <v>0</v>
      </c>
      <c r="E835" s="219">
        <f>INDEX('Step 4 Stage Discharge'!E$26:M$126,MATCH(C835,'Step 4 Stage Discharge'!E$26:E$126,1),9)+(INDEX('Step 4 Stage Discharge'!E$26:M$126,MATCH('Step 6 Quality Check'!C835,'Step 4 Stage Discharge'!E$26:E$126,1)+1,9)-INDEX('Step 4 Stage Discharge'!E$26:M$126,MATCH('Step 6 Quality Check'!C835,'Step 4 Stage Discharge'!E$26:E$126,1),9))*('Step 6 Quality Check'!C835-INDEX('Step 4 Stage Discharge'!E$26:M$126,MATCH('Step 6 Quality Check'!C835,'Step 4 Stage Discharge'!E$26:E$126,1),1))/(INDEX('Step 4 Stage Discharge'!E$26:M$126,MATCH('Step 6 Quality Check'!C835,'Step 4 Stage Discharge'!E$26:E$126,1)+1,1)-INDEX('Step 4 Stage Discharge'!E$26:M$126,MATCH('Step 6 Quality Check'!C835,'Step 4 Stage Discharge'!E$26:E$126,1),1))</f>
        <v>4.3639431710317386E-3</v>
      </c>
      <c r="F835" s="218">
        <f t="shared" si="60"/>
        <v>0</v>
      </c>
      <c r="G835" s="218">
        <f t="shared" si="61"/>
        <v>0</v>
      </c>
    </row>
    <row r="836" spans="1:7">
      <c r="A836" s="217">
        <f t="shared" si="62"/>
        <v>4100</v>
      </c>
      <c r="B836" s="216">
        <f t="shared" si="63"/>
        <v>99.1</v>
      </c>
      <c r="C836" s="218">
        <f t="shared" si="64"/>
        <v>0</v>
      </c>
      <c r="D836" s="219">
        <f>INDEX('Step 4 Stage Discharge'!E$26:F$126,MATCH(C836,'Step 4 Stage Discharge'!E$26:E$126,1),2)+(INDEX('Step 4 Stage Discharge'!E$26:F$126,MATCH(C836,'Step 4 Stage Discharge'!E$26:E$126,1)+1,2)-INDEX('Step 4 Stage Discharge'!E$26:F$126,MATCH(C836,'Step 4 Stage Discharge'!E$26:E$126,1),2))*(C836-INDEX('Step 4 Stage Discharge'!E$26:F$126,MATCH(C836,'Step 4 Stage Discharge'!E$26:E$126,1),1))/(INDEX('Step 4 Stage Discharge'!E$26:F$126,MATCH(C836,'Step 4 Stage Discharge'!E$26:E$126,1)+1,1)-INDEX('Step 4 Stage Discharge'!E$26:F$126,MATCH(C836,'Step 4 Stage Discharge'!E$26:E$126,1),1))</f>
        <v>0</v>
      </c>
      <c r="E836" s="219">
        <f>INDEX('Step 4 Stage Discharge'!E$26:M$126,MATCH(C836,'Step 4 Stage Discharge'!E$26:E$126,1),9)+(INDEX('Step 4 Stage Discharge'!E$26:M$126,MATCH('Step 6 Quality Check'!C836,'Step 4 Stage Discharge'!E$26:E$126,1)+1,9)-INDEX('Step 4 Stage Discharge'!E$26:M$126,MATCH('Step 6 Quality Check'!C836,'Step 4 Stage Discharge'!E$26:E$126,1),9))*('Step 6 Quality Check'!C836-INDEX('Step 4 Stage Discharge'!E$26:M$126,MATCH('Step 6 Quality Check'!C836,'Step 4 Stage Discharge'!E$26:E$126,1),1))/(INDEX('Step 4 Stage Discharge'!E$26:M$126,MATCH('Step 6 Quality Check'!C836,'Step 4 Stage Discharge'!E$26:E$126,1)+1,1)-INDEX('Step 4 Stage Discharge'!E$26:M$126,MATCH('Step 6 Quality Check'!C836,'Step 4 Stage Discharge'!E$26:E$126,1),1))</f>
        <v>4.3639431710317386E-3</v>
      </c>
      <c r="F836" s="218">
        <f t="shared" si="60"/>
        <v>0</v>
      </c>
      <c r="G836" s="218">
        <f t="shared" si="61"/>
        <v>0</v>
      </c>
    </row>
    <row r="837" spans="1:7">
      <c r="A837" s="217">
        <f t="shared" si="62"/>
        <v>4105</v>
      </c>
      <c r="B837" s="216">
        <f t="shared" si="63"/>
        <v>99.1</v>
      </c>
      <c r="C837" s="218">
        <f t="shared" si="64"/>
        <v>0</v>
      </c>
      <c r="D837" s="219">
        <f>INDEX('Step 4 Stage Discharge'!E$26:F$126,MATCH(C837,'Step 4 Stage Discharge'!E$26:E$126,1),2)+(INDEX('Step 4 Stage Discharge'!E$26:F$126,MATCH(C837,'Step 4 Stage Discharge'!E$26:E$126,1)+1,2)-INDEX('Step 4 Stage Discharge'!E$26:F$126,MATCH(C837,'Step 4 Stage Discharge'!E$26:E$126,1),2))*(C837-INDEX('Step 4 Stage Discharge'!E$26:F$126,MATCH(C837,'Step 4 Stage Discharge'!E$26:E$126,1),1))/(INDEX('Step 4 Stage Discharge'!E$26:F$126,MATCH(C837,'Step 4 Stage Discharge'!E$26:E$126,1)+1,1)-INDEX('Step 4 Stage Discharge'!E$26:F$126,MATCH(C837,'Step 4 Stage Discharge'!E$26:E$126,1),1))</f>
        <v>0</v>
      </c>
      <c r="E837" s="219">
        <f>INDEX('Step 4 Stage Discharge'!E$26:M$126,MATCH(C837,'Step 4 Stage Discharge'!E$26:E$126,1),9)+(INDEX('Step 4 Stage Discharge'!E$26:M$126,MATCH('Step 6 Quality Check'!C837,'Step 4 Stage Discharge'!E$26:E$126,1)+1,9)-INDEX('Step 4 Stage Discharge'!E$26:M$126,MATCH('Step 6 Quality Check'!C837,'Step 4 Stage Discharge'!E$26:E$126,1),9))*('Step 6 Quality Check'!C837-INDEX('Step 4 Stage Discharge'!E$26:M$126,MATCH('Step 6 Quality Check'!C837,'Step 4 Stage Discharge'!E$26:E$126,1),1))/(INDEX('Step 4 Stage Discharge'!E$26:M$126,MATCH('Step 6 Quality Check'!C837,'Step 4 Stage Discharge'!E$26:E$126,1)+1,1)-INDEX('Step 4 Stage Discharge'!E$26:M$126,MATCH('Step 6 Quality Check'!C837,'Step 4 Stage Discharge'!E$26:E$126,1),1))</f>
        <v>4.3639431710317386E-3</v>
      </c>
      <c r="F837" s="218">
        <f t="shared" si="60"/>
        <v>0</v>
      </c>
      <c r="G837" s="218">
        <f t="shared" si="61"/>
        <v>0</v>
      </c>
    </row>
    <row r="838" spans="1:7">
      <c r="A838" s="217">
        <f t="shared" si="62"/>
        <v>4110</v>
      </c>
      <c r="B838" s="216">
        <f t="shared" si="63"/>
        <v>99.1</v>
      </c>
      <c r="C838" s="218">
        <f t="shared" si="64"/>
        <v>0</v>
      </c>
      <c r="D838" s="219">
        <f>INDEX('Step 4 Stage Discharge'!E$26:F$126,MATCH(C838,'Step 4 Stage Discharge'!E$26:E$126,1),2)+(INDEX('Step 4 Stage Discharge'!E$26:F$126,MATCH(C838,'Step 4 Stage Discharge'!E$26:E$126,1)+1,2)-INDEX('Step 4 Stage Discharge'!E$26:F$126,MATCH(C838,'Step 4 Stage Discharge'!E$26:E$126,1),2))*(C838-INDEX('Step 4 Stage Discharge'!E$26:F$126,MATCH(C838,'Step 4 Stage Discharge'!E$26:E$126,1),1))/(INDEX('Step 4 Stage Discharge'!E$26:F$126,MATCH(C838,'Step 4 Stage Discharge'!E$26:E$126,1)+1,1)-INDEX('Step 4 Stage Discharge'!E$26:F$126,MATCH(C838,'Step 4 Stage Discharge'!E$26:E$126,1),1))</f>
        <v>0</v>
      </c>
      <c r="E838" s="219">
        <f>INDEX('Step 4 Stage Discharge'!E$26:M$126,MATCH(C838,'Step 4 Stage Discharge'!E$26:E$126,1),9)+(INDEX('Step 4 Stage Discharge'!E$26:M$126,MATCH('Step 6 Quality Check'!C838,'Step 4 Stage Discharge'!E$26:E$126,1)+1,9)-INDEX('Step 4 Stage Discharge'!E$26:M$126,MATCH('Step 6 Quality Check'!C838,'Step 4 Stage Discharge'!E$26:E$126,1),9))*('Step 6 Quality Check'!C838-INDEX('Step 4 Stage Discharge'!E$26:M$126,MATCH('Step 6 Quality Check'!C838,'Step 4 Stage Discharge'!E$26:E$126,1),1))/(INDEX('Step 4 Stage Discharge'!E$26:M$126,MATCH('Step 6 Quality Check'!C838,'Step 4 Stage Discharge'!E$26:E$126,1)+1,1)-INDEX('Step 4 Stage Discharge'!E$26:M$126,MATCH('Step 6 Quality Check'!C838,'Step 4 Stage Discharge'!E$26:E$126,1),1))</f>
        <v>4.3639431710317386E-3</v>
      </c>
      <c r="F838" s="218">
        <f t="shared" si="60"/>
        <v>0</v>
      </c>
      <c r="G838" s="218">
        <f t="shared" si="61"/>
        <v>0</v>
      </c>
    </row>
    <row r="839" spans="1:7">
      <c r="A839" s="217">
        <f t="shared" si="62"/>
        <v>4115</v>
      </c>
      <c r="B839" s="216">
        <f t="shared" si="63"/>
        <v>99.1</v>
      </c>
      <c r="C839" s="218">
        <f t="shared" si="64"/>
        <v>0</v>
      </c>
      <c r="D839" s="219">
        <f>INDEX('Step 4 Stage Discharge'!E$26:F$126,MATCH(C839,'Step 4 Stage Discharge'!E$26:E$126,1),2)+(INDEX('Step 4 Stage Discharge'!E$26:F$126,MATCH(C839,'Step 4 Stage Discharge'!E$26:E$126,1)+1,2)-INDEX('Step 4 Stage Discharge'!E$26:F$126,MATCH(C839,'Step 4 Stage Discharge'!E$26:E$126,1),2))*(C839-INDEX('Step 4 Stage Discharge'!E$26:F$126,MATCH(C839,'Step 4 Stage Discharge'!E$26:E$126,1),1))/(INDEX('Step 4 Stage Discharge'!E$26:F$126,MATCH(C839,'Step 4 Stage Discharge'!E$26:E$126,1)+1,1)-INDEX('Step 4 Stage Discharge'!E$26:F$126,MATCH(C839,'Step 4 Stage Discharge'!E$26:E$126,1),1))</f>
        <v>0</v>
      </c>
      <c r="E839" s="219">
        <f>INDEX('Step 4 Stage Discharge'!E$26:M$126,MATCH(C839,'Step 4 Stage Discharge'!E$26:E$126,1),9)+(INDEX('Step 4 Stage Discharge'!E$26:M$126,MATCH('Step 6 Quality Check'!C839,'Step 4 Stage Discharge'!E$26:E$126,1)+1,9)-INDEX('Step 4 Stage Discharge'!E$26:M$126,MATCH('Step 6 Quality Check'!C839,'Step 4 Stage Discharge'!E$26:E$126,1),9))*('Step 6 Quality Check'!C839-INDEX('Step 4 Stage Discharge'!E$26:M$126,MATCH('Step 6 Quality Check'!C839,'Step 4 Stage Discharge'!E$26:E$126,1),1))/(INDEX('Step 4 Stage Discharge'!E$26:M$126,MATCH('Step 6 Quality Check'!C839,'Step 4 Stage Discharge'!E$26:E$126,1)+1,1)-INDEX('Step 4 Stage Discharge'!E$26:M$126,MATCH('Step 6 Quality Check'!C839,'Step 4 Stage Discharge'!E$26:E$126,1),1))</f>
        <v>4.3639431710317386E-3</v>
      </c>
      <c r="F839" s="218">
        <f t="shared" si="60"/>
        <v>0</v>
      </c>
      <c r="G839" s="218">
        <f t="shared" si="61"/>
        <v>0</v>
      </c>
    </row>
    <row r="840" spans="1:7">
      <c r="A840" s="217">
        <f t="shared" si="62"/>
        <v>4120</v>
      </c>
      <c r="B840" s="216">
        <f t="shared" si="63"/>
        <v>99.1</v>
      </c>
      <c r="C840" s="218">
        <f t="shared" si="64"/>
        <v>0</v>
      </c>
      <c r="D840" s="219">
        <f>INDEX('Step 4 Stage Discharge'!E$26:F$126,MATCH(C840,'Step 4 Stage Discharge'!E$26:E$126,1),2)+(INDEX('Step 4 Stage Discharge'!E$26:F$126,MATCH(C840,'Step 4 Stage Discharge'!E$26:E$126,1)+1,2)-INDEX('Step 4 Stage Discharge'!E$26:F$126,MATCH(C840,'Step 4 Stage Discharge'!E$26:E$126,1),2))*(C840-INDEX('Step 4 Stage Discharge'!E$26:F$126,MATCH(C840,'Step 4 Stage Discharge'!E$26:E$126,1),1))/(INDEX('Step 4 Stage Discharge'!E$26:F$126,MATCH(C840,'Step 4 Stage Discharge'!E$26:E$126,1)+1,1)-INDEX('Step 4 Stage Discharge'!E$26:F$126,MATCH(C840,'Step 4 Stage Discharge'!E$26:E$126,1),1))</f>
        <v>0</v>
      </c>
      <c r="E840" s="219">
        <f>INDEX('Step 4 Stage Discharge'!E$26:M$126,MATCH(C840,'Step 4 Stage Discharge'!E$26:E$126,1),9)+(INDEX('Step 4 Stage Discharge'!E$26:M$126,MATCH('Step 6 Quality Check'!C840,'Step 4 Stage Discharge'!E$26:E$126,1)+1,9)-INDEX('Step 4 Stage Discharge'!E$26:M$126,MATCH('Step 6 Quality Check'!C840,'Step 4 Stage Discharge'!E$26:E$126,1),9))*('Step 6 Quality Check'!C840-INDEX('Step 4 Stage Discharge'!E$26:M$126,MATCH('Step 6 Quality Check'!C840,'Step 4 Stage Discharge'!E$26:E$126,1),1))/(INDEX('Step 4 Stage Discharge'!E$26:M$126,MATCH('Step 6 Quality Check'!C840,'Step 4 Stage Discharge'!E$26:E$126,1)+1,1)-INDEX('Step 4 Stage Discharge'!E$26:M$126,MATCH('Step 6 Quality Check'!C840,'Step 4 Stage Discharge'!E$26:E$126,1),1))</f>
        <v>4.3639431710317386E-3</v>
      </c>
      <c r="F840" s="218">
        <f t="shared" si="60"/>
        <v>0</v>
      </c>
      <c r="G840" s="218">
        <f t="shared" si="61"/>
        <v>0</v>
      </c>
    </row>
    <row r="841" spans="1:7">
      <c r="A841" s="217">
        <f t="shared" si="62"/>
        <v>4125</v>
      </c>
      <c r="B841" s="216">
        <f t="shared" si="63"/>
        <v>99.1</v>
      </c>
      <c r="C841" s="218">
        <f t="shared" si="64"/>
        <v>0</v>
      </c>
      <c r="D841" s="219">
        <f>INDEX('Step 4 Stage Discharge'!E$26:F$126,MATCH(C841,'Step 4 Stage Discharge'!E$26:E$126,1),2)+(INDEX('Step 4 Stage Discharge'!E$26:F$126,MATCH(C841,'Step 4 Stage Discharge'!E$26:E$126,1)+1,2)-INDEX('Step 4 Stage Discharge'!E$26:F$126,MATCH(C841,'Step 4 Stage Discharge'!E$26:E$126,1),2))*(C841-INDEX('Step 4 Stage Discharge'!E$26:F$126,MATCH(C841,'Step 4 Stage Discharge'!E$26:E$126,1),1))/(INDEX('Step 4 Stage Discharge'!E$26:F$126,MATCH(C841,'Step 4 Stage Discharge'!E$26:E$126,1)+1,1)-INDEX('Step 4 Stage Discharge'!E$26:F$126,MATCH(C841,'Step 4 Stage Discharge'!E$26:E$126,1),1))</f>
        <v>0</v>
      </c>
      <c r="E841" s="219">
        <f>INDEX('Step 4 Stage Discharge'!E$26:M$126,MATCH(C841,'Step 4 Stage Discharge'!E$26:E$126,1),9)+(INDEX('Step 4 Stage Discharge'!E$26:M$126,MATCH('Step 6 Quality Check'!C841,'Step 4 Stage Discharge'!E$26:E$126,1)+1,9)-INDEX('Step 4 Stage Discharge'!E$26:M$126,MATCH('Step 6 Quality Check'!C841,'Step 4 Stage Discharge'!E$26:E$126,1),9))*('Step 6 Quality Check'!C841-INDEX('Step 4 Stage Discharge'!E$26:M$126,MATCH('Step 6 Quality Check'!C841,'Step 4 Stage Discharge'!E$26:E$126,1),1))/(INDEX('Step 4 Stage Discharge'!E$26:M$126,MATCH('Step 6 Quality Check'!C841,'Step 4 Stage Discharge'!E$26:E$126,1)+1,1)-INDEX('Step 4 Stage Discharge'!E$26:M$126,MATCH('Step 6 Quality Check'!C841,'Step 4 Stage Discharge'!E$26:E$126,1),1))</f>
        <v>4.3639431710317386E-3</v>
      </c>
      <c r="F841" s="218">
        <f t="shared" si="60"/>
        <v>0</v>
      </c>
      <c r="G841" s="218">
        <f t="shared" si="61"/>
        <v>0</v>
      </c>
    </row>
    <row r="842" spans="1:7">
      <c r="A842" s="217">
        <f t="shared" si="62"/>
        <v>4130</v>
      </c>
      <c r="B842" s="216">
        <f t="shared" si="63"/>
        <v>99.1</v>
      </c>
      <c r="C842" s="218">
        <f t="shared" si="64"/>
        <v>0</v>
      </c>
      <c r="D842" s="219">
        <f>INDEX('Step 4 Stage Discharge'!E$26:F$126,MATCH(C842,'Step 4 Stage Discharge'!E$26:E$126,1),2)+(INDEX('Step 4 Stage Discharge'!E$26:F$126,MATCH(C842,'Step 4 Stage Discharge'!E$26:E$126,1)+1,2)-INDEX('Step 4 Stage Discharge'!E$26:F$126,MATCH(C842,'Step 4 Stage Discharge'!E$26:E$126,1),2))*(C842-INDEX('Step 4 Stage Discharge'!E$26:F$126,MATCH(C842,'Step 4 Stage Discharge'!E$26:E$126,1),1))/(INDEX('Step 4 Stage Discharge'!E$26:F$126,MATCH(C842,'Step 4 Stage Discharge'!E$26:E$126,1)+1,1)-INDEX('Step 4 Stage Discharge'!E$26:F$126,MATCH(C842,'Step 4 Stage Discharge'!E$26:E$126,1),1))</f>
        <v>0</v>
      </c>
      <c r="E842" s="219">
        <f>INDEX('Step 4 Stage Discharge'!E$26:M$126,MATCH(C842,'Step 4 Stage Discharge'!E$26:E$126,1),9)+(INDEX('Step 4 Stage Discharge'!E$26:M$126,MATCH('Step 6 Quality Check'!C842,'Step 4 Stage Discharge'!E$26:E$126,1)+1,9)-INDEX('Step 4 Stage Discharge'!E$26:M$126,MATCH('Step 6 Quality Check'!C842,'Step 4 Stage Discharge'!E$26:E$126,1),9))*('Step 6 Quality Check'!C842-INDEX('Step 4 Stage Discharge'!E$26:M$126,MATCH('Step 6 Quality Check'!C842,'Step 4 Stage Discharge'!E$26:E$126,1),1))/(INDEX('Step 4 Stage Discharge'!E$26:M$126,MATCH('Step 6 Quality Check'!C842,'Step 4 Stage Discharge'!E$26:E$126,1)+1,1)-INDEX('Step 4 Stage Discharge'!E$26:M$126,MATCH('Step 6 Quality Check'!C842,'Step 4 Stage Discharge'!E$26:E$126,1),1))</f>
        <v>4.3639431710317386E-3</v>
      </c>
      <c r="F842" s="218">
        <f t="shared" si="60"/>
        <v>0</v>
      </c>
      <c r="G842" s="218">
        <f t="shared" si="61"/>
        <v>0</v>
      </c>
    </row>
    <row r="843" spans="1:7">
      <c r="A843" s="217">
        <f t="shared" si="62"/>
        <v>4135</v>
      </c>
      <c r="B843" s="216">
        <f t="shared" si="63"/>
        <v>99.1</v>
      </c>
      <c r="C843" s="218">
        <f t="shared" si="64"/>
        <v>0</v>
      </c>
      <c r="D843" s="219">
        <f>INDEX('Step 4 Stage Discharge'!E$26:F$126,MATCH(C843,'Step 4 Stage Discharge'!E$26:E$126,1),2)+(INDEX('Step 4 Stage Discharge'!E$26:F$126,MATCH(C843,'Step 4 Stage Discharge'!E$26:E$126,1)+1,2)-INDEX('Step 4 Stage Discharge'!E$26:F$126,MATCH(C843,'Step 4 Stage Discharge'!E$26:E$126,1),2))*(C843-INDEX('Step 4 Stage Discharge'!E$26:F$126,MATCH(C843,'Step 4 Stage Discharge'!E$26:E$126,1),1))/(INDEX('Step 4 Stage Discharge'!E$26:F$126,MATCH(C843,'Step 4 Stage Discharge'!E$26:E$126,1)+1,1)-INDEX('Step 4 Stage Discharge'!E$26:F$126,MATCH(C843,'Step 4 Stage Discharge'!E$26:E$126,1),1))</f>
        <v>0</v>
      </c>
      <c r="E843" s="219">
        <f>INDEX('Step 4 Stage Discharge'!E$26:M$126,MATCH(C843,'Step 4 Stage Discharge'!E$26:E$126,1),9)+(INDEX('Step 4 Stage Discharge'!E$26:M$126,MATCH('Step 6 Quality Check'!C843,'Step 4 Stage Discharge'!E$26:E$126,1)+1,9)-INDEX('Step 4 Stage Discharge'!E$26:M$126,MATCH('Step 6 Quality Check'!C843,'Step 4 Stage Discharge'!E$26:E$126,1),9))*('Step 6 Quality Check'!C843-INDEX('Step 4 Stage Discharge'!E$26:M$126,MATCH('Step 6 Quality Check'!C843,'Step 4 Stage Discharge'!E$26:E$126,1),1))/(INDEX('Step 4 Stage Discharge'!E$26:M$126,MATCH('Step 6 Quality Check'!C843,'Step 4 Stage Discharge'!E$26:E$126,1)+1,1)-INDEX('Step 4 Stage Discharge'!E$26:M$126,MATCH('Step 6 Quality Check'!C843,'Step 4 Stage Discharge'!E$26:E$126,1),1))</f>
        <v>4.3639431710317386E-3</v>
      </c>
      <c r="F843" s="218">
        <f t="shared" si="60"/>
        <v>0</v>
      </c>
      <c r="G843" s="218">
        <f t="shared" si="61"/>
        <v>0</v>
      </c>
    </row>
    <row r="844" spans="1:7">
      <c r="A844" s="217">
        <f t="shared" si="62"/>
        <v>4140</v>
      </c>
      <c r="B844" s="216">
        <f t="shared" si="63"/>
        <v>99.1</v>
      </c>
      <c r="C844" s="218">
        <f t="shared" si="64"/>
        <v>0</v>
      </c>
      <c r="D844" s="219">
        <f>INDEX('Step 4 Stage Discharge'!E$26:F$126,MATCH(C844,'Step 4 Stage Discharge'!E$26:E$126,1),2)+(INDEX('Step 4 Stage Discharge'!E$26:F$126,MATCH(C844,'Step 4 Stage Discharge'!E$26:E$126,1)+1,2)-INDEX('Step 4 Stage Discharge'!E$26:F$126,MATCH(C844,'Step 4 Stage Discharge'!E$26:E$126,1),2))*(C844-INDEX('Step 4 Stage Discharge'!E$26:F$126,MATCH(C844,'Step 4 Stage Discharge'!E$26:E$126,1),1))/(INDEX('Step 4 Stage Discharge'!E$26:F$126,MATCH(C844,'Step 4 Stage Discharge'!E$26:E$126,1)+1,1)-INDEX('Step 4 Stage Discharge'!E$26:F$126,MATCH(C844,'Step 4 Stage Discharge'!E$26:E$126,1),1))</f>
        <v>0</v>
      </c>
      <c r="E844" s="219">
        <f>INDEX('Step 4 Stage Discharge'!E$26:M$126,MATCH(C844,'Step 4 Stage Discharge'!E$26:E$126,1),9)+(INDEX('Step 4 Stage Discharge'!E$26:M$126,MATCH('Step 6 Quality Check'!C844,'Step 4 Stage Discharge'!E$26:E$126,1)+1,9)-INDEX('Step 4 Stage Discharge'!E$26:M$126,MATCH('Step 6 Quality Check'!C844,'Step 4 Stage Discharge'!E$26:E$126,1),9))*('Step 6 Quality Check'!C844-INDEX('Step 4 Stage Discharge'!E$26:M$126,MATCH('Step 6 Quality Check'!C844,'Step 4 Stage Discharge'!E$26:E$126,1),1))/(INDEX('Step 4 Stage Discharge'!E$26:M$126,MATCH('Step 6 Quality Check'!C844,'Step 4 Stage Discharge'!E$26:E$126,1)+1,1)-INDEX('Step 4 Stage Discharge'!E$26:M$126,MATCH('Step 6 Quality Check'!C844,'Step 4 Stage Discharge'!E$26:E$126,1),1))</f>
        <v>4.3639431710317386E-3</v>
      </c>
      <c r="F844" s="218">
        <f t="shared" si="60"/>
        <v>0</v>
      </c>
      <c r="G844" s="218">
        <f t="shared" si="61"/>
        <v>0</v>
      </c>
    </row>
    <row r="845" spans="1:7">
      <c r="A845" s="217">
        <f t="shared" si="62"/>
        <v>4145</v>
      </c>
      <c r="B845" s="216">
        <f t="shared" si="63"/>
        <v>99.1</v>
      </c>
      <c r="C845" s="218">
        <f t="shared" si="64"/>
        <v>0</v>
      </c>
      <c r="D845" s="219">
        <f>INDEX('Step 4 Stage Discharge'!E$26:F$126,MATCH(C845,'Step 4 Stage Discharge'!E$26:E$126,1),2)+(INDEX('Step 4 Stage Discharge'!E$26:F$126,MATCH(C845,'Step 4 Stage Discharge'!E$26:E$126,1)+1,2)-INDEX('Step 4 Stage Discharge'!E$26:F$126,MATCH(C845,'Step 4 Stage Discharge'!E$26:E$126,1),2))*(C845-INDEX('Step 4 Stage Discharge'!E$26:F$126,MATCH(C845,'Step 4 Stage Discharge'!E$26:E$126,1),1))/(INDEX('Step 4 Stage Discharge'!E$26:F$126,MATCH(C845,'Step 4 Stage Discharge'!E$26:E$126,1)+1,1)-INDEX('Step 4 Stage Discharge'!E$26:F$126,MATCH(C845,'Step 4 Stage Discharge'!E$26:E$126,1),1))</f>
        <v>0</v>
      </c>
      <c r="E845" s="219">
        <f>INDEX('Step 4 Stage Discharge'!E$26:M$126,MATCH(C845,'Step 4 Stage Discharge'!E$26:E$126,1),9)+(INDEX('Step 4 Stage Discharge'!E$26:M$126,MATCH('Step 6 Quality Check'!C845,'Step 4 Stage Discharge'!E$26:E$126,1)+1,9)-INDEX('Step 4 Stage Discharge'!E$26:M$126,MATCH('Step 6 Quality Check'!C845,'Step 4 Stage Discharge'!E$26:E$126,1),9))*('Step 6 Quality Check'!C845-INDEX('Step 4 Stage Discharge'!E$26:M$126,MATCH('Step 6 Quality Check'!C845,'Step 4 Stage Discharge'!E$26:E$126,1),1))/(INDEX('Step 4 Stage Discharge'!E$26:M$126,MATCH('Step 6 Quality Check'!C845,'Step 4 Stage Discharge'!E$26:E$126,1)+1,1)-INDEX('Step 4 Stage Discharge'!E$26:M$126,MATCH('Step 6 Quality Check'!C845,'Step 4 Stage Discharge'!E$26:E$126,1),1))</f>
        <v>4.3639431710317386E-3</v>
      </c>
      <c r="F845" s="218">
        <f t="shared" si="60"/>
        <v>0</v>
      </c>
      <c r="G845" s="218">
        <f t="shared" si="61"/>
        <v>0</v>
      </c>
    </row>
    <row r="846" spans="1:7">
      <c r="A846" s="217">
        <f t="shared" si="62"/>
        <v>4150</v>
      </c>
      <c r="B846" s="216">
        <f t="shared" si="63"/>
        <v>99.1</v>
      </c>
      <c r="C846" s="218">
        <f t="shared" si="64"/>
        <v>0</v>
      </c>
      <c r="D846" s="219">
        <f>INDEX('Step 4 Stage Discharge'!E$26:F$126,MATCH(C846,'Step 4 Stage Discharge'!E$26:E$126,1),2)+(INDEX('Step 4 Stage Discharge'!E$26:F$126,MATCH(C846,'Step 4 Stage Discharge'!E$26:E$126,1)+1,2)-INDEX('Step 4 Stage Discharge'!E$26:F$126,MATCH(C846,'Step 4 Stage Discharge'!E$26:E$126,1),2))*(C846-INDEX('Step 4 Stage Discharge'!E$26:F$126,MATCH(C846,'Step 4 Stage Discharge'!E$26:E$126,1),1))/(INDEX('Step 4 Stage Discharge'!E$26:F$126,MATCH(C846,'Step 4 Stage Discharge'!E$26:E$126,1)+1,1)-INDEX('Step 4 Stage Discharge'!E$26:F$126,MATCH(C846,'Step 4 Stage Discharge'!E$26:E$126,1),1))</f>
        <v>0</v>
      </c>
      <c r="E846" s="219">
        <f>INDEX('Step 4 Stage Discharge'!E$26:M$126,MATCH(C846,'Step 4 Stage Discharge'!E$26:E$126,1),9)+(INDEX('Step 4 Stage Discharge'!E$26:M$126,MATCH('Step 6 Quality Check'!C846,'Step 4 Stage Discharge'!E$26:E$126,1)+1,9)-INDEX('Step 4 Stage Discharge'!E$26:M$126,MATCH('Step 6 Quality Check'!C846,'Step 4 Stage Discharge'!E$26:E$126,1),9))*('Step 6 Quality Check'!C846-INDEX('Step 4 Stage Discharge'!E$26:M$126,MATCH('Step 6 Quality Check'!C846,'Step 4 Stage Discharge'!E$26:E$126,1),1))/(INDEX('Step 4 Stage Discharge'!E$26:M$126,MATCH('Step 6 Quality Check'!C846,'Step 4 Stage Discharge'!E$26:E$126,1)+1,1)-INDEX('Step 4 Stage Discharge'!E$26:M$126,MATCH('Step 6 Quality Check'!C846,'Step 4 Stage Discharge'!E$26:E$126,1),1))</f>
        <v>4.3639431710317386E-3</v>
      </c>
      <c r="F846" s="218">
        <f t="shared" si="60"/>
        <v>0</v>
      </c>
      <c r="G846" s="218">
        <f t="shared" si="61"/>
        <v>0</v>
      </c>
    </row>
    <row r="847" spans="1:7">
      <c r="A847" s="217">
        <f t="shared" si="62"/>
        <v>4155</v>
      </c>
      <c r="B847" s="216">
        <f t="shared" si="63"/>
        <v>99.1</v>
      </c>
      <c r="C847" s="218">
        <f t="shared" si="64"/>
        <v>0</v>
      </c>
      <c r="D847" s="219">
        <f>INDEX('Step 4 Stage Discharge'!E$26:F$126,MATCH(C847,'Step 4 Stage Discharge'!E$26:E$126,1),2)+(INDEX('Step 4 Stage Discharge'!E$26:F$126,MATCH(C847,'Step 4 Stage Discharge'!E$26:E$126,1)+1,2)-INDEX('Step 4 Stage Discharge'!E$26:F$126,MATCH(C847,'Step 4 Stage Discharge'!E$26:E$126,1),2))*(C847-INDEX('Step 4 Stage Discharge'!E$26:F$126,MATCH(C847,'Step 4 Stage Discharge'!E$26:E$126,1),1))/(INDEX('Step 4 Stage Discharge'!E$26:F$126,MATCH(C847,'Step 4 Stage Discharge'!E$26:E$126,1)+1,1)-INDEX('Step 4 Stage Discharge'!E$26:F$126,MATCH(C847,'Step 4 Stage Discharge'!E$26:E$126,1),1))</f>
        <v>0</v>
      </c>
      <c r="E847" s="219">
        <f>INDEX('Step 4 Stage Discharge'!E$26:M$126,MATCH(C847,'Step 4 Stage Discharge'!E$26:E$126,1),9)+(INDEX('Step 4 Stage Discharge'!E$26:M$126,MATCH('Step 6 Quality Check'!C847,'Step 4 Stage Discharge'!E$26:E$126,1)+1,9)-INDEX('Step 4 Stage Discharge'!E$26:M$126,MATCH('Step 6 Quality Check'!C847,'Step 4 Stage Discharge'!E$26:E$126,1),9))*('Step 6 Quality Check'!C847-INDEX('Step 4 Stage Discharge'!E$26:M$126,MATCH('Step 6 Quality Check'!C847,'Step 4 Stage Discharge'!E$26:E$126,1),1))/(INDEX('Step 4 Stage Discharge'!E$26:M$126,MATCH('Step 6 Quality Check'!C847,'Step 4 Stage Discharge'!E$26:E$126,1)+1,1)-INDEX('Step 4 Stage Discharge'!E$26:M$126,MATCH('Step 6 Quality Check'!C847,'Step 4 Stage Discharge'!E$26:E$126,1),1))</f>
        <v>4.3639431710317386E-3</v>
      </c>
      <c r="F847" s="218">
        <f t="shared" si="60"/>
        <v>0</v>
      </c>
      <c r="G847" s="218">
        <f t="shared" si="61"/>
        <v>0</v>
      </c>
    </row>
    <row r="848" spans="1:7">
      <c r="A848" s="217">
        <f t="shared" si="62"/>
        <v>4160</v>
      </c>
      <c r="B848" s="216">
        <f t="shared" si="63"/>
        <v>99.1</v>
      </c>
      <c r="C848" s="218">
        <f t="shared" si="64"/>
        <v>0</v>
      </c>
      <c r="D848" s="219">
        <f>INDEX('Step 4 Stage Discharge'!E$26:F$126,MATCH(C848,'Step 4 Stage Discharge'!E$26:E$126,1),2)+(INDEX('Step 4 Stage Discharge'!E$26:F$126,MATCH(C848,'Step 4 Stage Discharge'!E$26:E$126,1)+1,2)-INDEX('Step 4 Stage Discharge'!E$26:F$126,MATCH(C848,'Step 4 Stage Discharge'!E$26:E$126,1),2))*(C848-INDEX('Step 4 Stage Discharge'!E$26:F$126,MATCH(C848,'Step 4 Stage Discharge'!E$26:E$126,1),1))/(INDEX('Step 4 Stage Discharge'!E$26:F$126,MATCH(C848,'Step 4 Stage Discharge'!E$26:E$126,1)+1,1)-INDEX('Step 4 Stage Discharge'!E$26:F$126,MATCH(C848,'Step 4 Stage Discharge'!E$26:E$126,1),1))</f>
        <v>0</v>
      </c>
      <c r="E848" s="219">
        <f>INDEX('Step 4 Stage Discharge'!E$26:M$126,MATCH(C848,'Step 4 Stage Discharge'!E$26:E$126,1),9)+(INDEX('Step 4 Stage Discharge'!E$26:M$126,MATCH('Step 6 Quality Check'!C848,'Step 4 Stage Discharge'!E$26:E$126,1)+1,9)-INDEX('Step 4 Stage Discharge'!E$26:M$126,MATCH('Step 6 Quality Check'!C848,'Step 4 Stage Discharge'!E$26:E$126,1),9))*('Step 6 Quality Check'!C848-INDEX('Step 4 Stage Discharge'!E$26:M$126,MATCH('Step 6 Quality Check'!C848,'Step 4 Stage Discharge'!E$26:E$126,1),1))/(INDEX('Step 4 Stage Discharge'!E$26:M$126,MATCH('Step 6 Quality Check'!C848,'Step 4 Stage Discharge'!E$26:E$126,1)+1,1)-INDEX('Step 4 Stage Discharge'!E$26:M$126,MATCH('Step 6 Quality Check'!C848,'Step 4 Stage Discharge'!E$26:E$126,1),1))</f>
        <v>4.3639431710317386E-3</v>
      </c>
      <c r="F848" s="218">
        <f t="shared" ref="F848:F911" si="65">IF(E848*60*C$9&gt;C848,C848,E848*60*C$9)</f>
        <v>0</v>
      </c>
      <c r="G848" s="218">
        <f t="shared" ref="G848:G911" si="66">IF(C848-F848&lt;0,0,C848-F848)</f>
        <v>0</v>
      </c>
    </row>
    <row r="849" spans="1:7">
      <c r="A849" s="217">
        <f t="shared" ref="A849:A916" si="67">+A848+C$9</f>
        <v>4165</v>
      </c>
      <c r="B849" s="216">
        <f t="shared" si="63"/>
        <v>99.1</v>
      </c>
      <c r="C849" s="218">
        <f t="shared" si="64"/>
        <v>0</v>
      </c>
      <c r="D849" s="219">
        <f>INDEX('Step 4 Stage Discharge'!E$26:F$126,MATCH(C849,'Step 4 Stage Discharge'!E$26:E$126,1),2)+(INDEX('Step 4 Stage Discharge'!E$26:F$126,MATCH(C849,'Step 4 Stage Discharge'!E$26:E$126,1)+1,2)-INDEX('Step 4 Stage Discharge'!E$26:F$126,MATCH(C849,'Step 4 Stage Discharge'!E$26:E$126,1),2))*(C849-INDEX('Step 4 Stage Discharge'!E$26:F$126,MATCH(C849,'Step 4 Stage Discharge'!E$26:E$126,1),1))/(INDEX('Step 4 Stage Discharge'!E$26:F$126,MATCH(C849,'Step 4 Stage Discharge'!E$26:E$126,1)+1,1)-INDEX('Step 4 Stage Discharge'!E$26:F$126,MATCH(C849,'Step 4 Stage Discharge'!E$26:E$126,1),1))</f>
        <v>0</v>
      </c>
      <c r="E849" s="219">
        <f>INDEX('Step 4 Stage Discharge'!E$26:M$126,MATCH(C849,'Step 4 Stage Discharge'!E$26:E$126,1),9)+(INDEX('Step 4 Stage Discharge'!E$26:M$126,MATCH('Step 6 Quality Check'!C849,'Step 4 Stage Discharge'!E$26:E$126,1)+1,9)-INDEX('Step 4 Stage Discharge'!E$26:M$126,MATCH('Step 6 Quality Check'!C849,'Step 4 Stage Discharge'!E$26:E$126,1),9))*('Step 6 Quality Check'!C849-INDEX('Step 4 Stage Discharge'!E$26:M$126,MATCH('Step 6 Quality Check'!C849,'Step 4 Stage Discharge'!E$26:E$126,1),1))/(INDEX('Step 4 Stage Discharge'!E$26:M$126,MATCH('Step 6 Quality Check'!C849,'Step 4 Stage Discharge'!E$26:E$126,1)+1,1)-INDEX('Step 4 Stage Discharge'!E$26:M$126,MATCH('Step 6 Quality Check'!C849,'Step 4 Stage Discharge'!E$26:E$126,1),1))</f>
        <v>4.3639431710317386E-3</v>
      </c>
      <c r="F849" s="218">
        <f t="shared" si="65"/>
        <v>0</v>
      </c>
      <c r="G849" s="218">
        <f t="shared" si="66"/>
        <v>0</v>
      </c>
    </row>
    <row r="850" spans="1:7">
      <c r="A850" s="217">
        <f t="shared" si="67"/>
        <v>4170</v>
      </c>
      <c r="B850" s="216">
        <f t="shared" ref="B850:B913" si="68">C$6+D850</f>
        <v>99.1</v>
      </c>
      <c r="C850" s="218">
        <f t="shared" ref="C850:C913" si="69">+G849</f>
        <v>0</v>
      </c>
      <c r="D850" s="219">
        <f>INDEX('Step 4 Stage Discharge'!E$26:F$126,MATCH(C850,'Step 4 Stage Discharge'!E$26:E$126,1),2)+(INDEX('Step 4 Stage Discharge'!E$26:F$126,MATCH(C850,'Step 4 Stage Discharge'!E$26:E$126,1)+1,2)-INDEX('Step 4 Stage Discharge'!E$26:F$126,MATCH(C850,'Step 4 Stage Discharge'!E$26:E$126,1),2))*(C850-INDEX('Step 4 Stage Discharge'!E$26:F$126,MATCH(C850,'Step 4 Stage Discharge'!E$26:E$126,1),1))/(INDEX('Step 4 Stage Discharge'!E$26:F$126,MATCH(C850,'Step 4 Stage Discharge'!E$26:E$126,1)+1,1)-INDEX('Step 4 Stage Discharge'!E$26:F$126,MATCH(C850,'Step 4 Stage Discharge'!E$26:E$126,1),1))</f>
        <v>0</v>
      </c>
      <c r="E850" s="219">
        <f>INDEX('Step 4 Stage Discharge'!E$26:M$126,MATCH(C850,'Step 4 Stage Discharge'!E$26:E$126,1),9)+(INDEX('Step 4 Stage Discharge'!E$26:M$126,MATCH('Step 6 Quality Check'!C850,'Step 4 Stage Discharge'!E$26:E$126,1)+1,9)-INDEX('Step 4 Stage Discharge'!E$26:M$126,MATCH('Step 6 Quality Check'!C850,'Step 4 Stage Discharge'!E$26:E$126,1),9))*('Step 6 Quality Check'!C850-INDEX('Step 4 Stage Discharge'!E$26:M$126,MATCH('Step 6 Quality Check'!C850,'Step 4 Stage Discharge'!E$26:E$126,1),1))/(INDEX('Step 4 Stage Discharge'!E$26:M$126,MATCH('Step 6 Quality Check'!C850,'Step 4 Stage Discharge'!E$26:E$126,1)+1,1)-INDEX('Step 4 Stage Discharge'!E$26:M$126,MATCH('Step 6 Quality Check'!C850,'Step 4 Stage Discharge'!E$26:E$126,1),1))</f>
        <v>4.3639431710317386E-3</v>
      </c>
      <c r="F850" s="218">
        <f t="shared" si="65"/>
        <v>0</v>
      </c>
      <c r="G850" s="218">
        <f t="shared" si="66"/>
        <v>0</v>
      </c>
    </row>
    <row r="851" spans="1:7">
      <c r="A851" s="217">
        <f t="shared" si="67"/>
        <v>4175</v>
      </c>
      <c r="B851" s="216">
        <f t="shared" si="68"/>
        <v>99.1</v>
      </c>
      <c r="C851" s="218">
        <f t="shared" si="69"/>
        <v>0</v>
      </c>
      <c r="D851" s="219">
        <f>INDEX('Step 4 Stage Discharge'!E$26:F$126,MATCH(C851,'Step 4 Stage Discharge'!E$26:E$126,1),2)+(INDEX('Step 4 Stage Discharge'!E$26:F$126,MATCH(C851,'Step 4 Stage Discharge'!E$26:E$126,1)+1,2)-INDEX('Step 4 Stage Discharge'!E$26:F$126,MATCH(C851,'Step 4 Stage Discharge'!E$26:E$126,1),2))*(C851-INDEX('Step 4 Stage Discharge'!E$26:F$126,MATCH(C851,'Step 4 Stage Discharge'!E$26:E$126,1),1))/(INDEX('Step 4 Stage Discharge'!E$26:F$126,MATCH(C851,'Step 4 Stage Discharge'!E$26:E$126,1)+1,1)-INDEX('Step 4 Stage Discharge'!E$26:F$126,MATCH(C851,'Step 4 Stage Discharge'!E$26:E$126,1),1))</f>
        <v>0</v>
      </c>
      <c r="E851" s="219">
        <f>INDEX('Step 4 Stage Discharge'!E$26:M$126,MATCH(C851,'Step 4 Stage Discharge'!E$26:E$126,1),9)+(INDEX('Step 4 Stage Discharge'!E$26:M$126,MATCH('Step 6 Quality Check'!C851,'Step 4 Stage Discharge'!E$26:E$126,1)+1,9)-INDEX('Step 4 Stage Discharge'!E$26:M$126,MATCH('Step 6 Quality Check'!C851,'Step 4 Stage Discharge'!E$26:E$126,1),9))*('Step 6 Quality Check'!C851-INDEX('Step 4 Stage Discharge'!E$26:M$126,MATCH('Step 6 Quality Check'!C851,'Step 4 Stage Discharge'!E$26:E$126,1),1))/(INDEX('Step 4 Stage Discharge'!E$26:M$126,MATCH('Step 6 Quality Check'!C851,'Step 4 Stage Discharge'!E$26:E$126,1)+1,1)-INDEX('Step 4 Stage Discharge'!E$26:M$126,MATCH('Step 6 Quality Check'!C851,'Step 4 Stage Discharge'!E$26:E$126,1),1))</f>
        <v>4.3639431710317386E-3</v>
      </c>
      <c r="F851" s="218">
        <f t="shared" si="65"/>
        <v>0</v>
      </c>
      <c r="G851" s="218">
        <f t="shared" si="66"/>
        <v>0</v>
      </c>
    </row>
    <row r="852" spans="1:7">
      <c r="A852" s="217">
        <f t="shared" si="67"/>
        <v>4180</v>
      </c>
      <c r="B852" s="216">
        <f t="shared" si="68"/>
        <v>99.1</v>
      </c>
      <c r="C852" s="218">
        <f t="shared" si="69"/>
        <v>0</v>
      </c>
      <c r="D852" s="219">
        <f>INDEX('Step 4 Stage Discharge'!E$26:F$126,MATCH(C852,'Step 4 Stage Discharge'!E$26:E$126,1),2)+(INDEX('Step 4 Stage Discharge'!E$26:F$126,MATCH(C852,'Step 4 Stage Discharge'!E$26:E$126,1)+1,2)-INDEX('Step 4 Stage Discharge'!E$26:F$126,MATCH(C852,'Step 4 Stage Discharge'!E$26:E$126,1),2))*(C852-INDEX('Step 4 Stage Discharge'!E$26:F$126,MATCH(C852,'Step 4 Stage Discharge'!E$26:E$126,1),1))/(INDEX('Step 4 Stage Discharge'!E$26:F$126,MATCH(C852,'Step 4 Stage Discharge'!E$26:E$126,1)+1,1)-INDEX('Step 4 Stage Discharge'!E$26:F$126,MATCH(C852,'Step 4 Stage Discharge'!E$26:E$126,1),1))</f>
        <v>0</v>
      </c>
      <c r="E852" s="219">
        <f>INDEX('Step 4 Stage Discharge'!E$26:M$126,MATCH(C852,'Step 4 Stage Discharge'!E$26:E$126,1),9)+(INDEX('Step 4 Stage Discharge'!E$26:M$126,MATCH('Step 6 Quality Check'!C852,'Step 4 Stage Discharge'!E$26:E$126,1)+1,9)-INDEX('Step 4 Stage Discharge'!E$26:M$126,MATCH('Step 6 Quality Check'!C852,'Step 4 Stage Discharge'!E$26:E$126,1),9))*('Step 6 Quality Check'!C852-INDEX('Step 4 Stage Discharge'!E$26:M$126,MATCH('Step 6 Quality Check'!C852,'Step 4 Stage Discharge'!E$26:E$126,1),1))/(INDEX('Step 4 Stage Discharge'!E$26:M$126,MATCH('Step 6 Quality Check'!C852,'Step 4 Stage Discharge'!E$26:E$126,1)+1,1)-INDEX('Step 4 Stage Discharge'!E$26:M$126,MATCH('Step 6 Quality Check'!C852,'Step 4 Stage Discharge'!E$26:E$126,1),1))</f>
        <v>4.3639431710317386E-3</v>
      </c>
      <c r="F852" s="218">
        <f t="shared" si="65"/>
        <v>0</v>
      </c>
      <c r="G852" s="218">
        <f t="shared" si="66"/>
        <v>0</v>
      </c>
    </row>
    <row r="853" spans="1:7">
      <c r="A853" s="217">
        <f t="shared" si="67"/>
        <v>4185</v>
      </c>
      <c r="B853" s="216">
        <f t="shared" si="68"/>
        <v>99.1</v>
      </c>
      <c r="C853" s="218">
        <f t="shared" si="69"/>
        <v>0</v>
      </c>
      <c r="D853" s="219">
        <f>INDEX('Step 4 Stage Discharge'!E$26:F$126,MATCH(C853,'Step 4 Stage Discharge'!E$26:E$126,1),2)+(INDEX('Step 4 Stage Discharge'!E$26:F$126,MATCH(C853,'Step 4 Stage Discharge'!E$26:E$126,1)+1,2)-INDEX('Step 4 Stage Discharge'!E$26:F$126,MATCH(C853,'Step 4 Stage Discharge'!E$26:E$126,1),2))*(C853-INDEX('Step 4 Stage Discharge'!E$26:F$126,MATCH(C853,'Step 4 Stage Discharge'!E$26:E$126,1),1))/(INDEX('Step 4 Stage Discharge'!E$26:F$126,MATCH(C853,'Step 4 Stage Discharge'!E$26:E$126,1)+1,1)-INDEX('Step 4 Stage Discharge'!E$26:F$126,MATCH(C853,'Step 4 Stage Discharge'!E$26:E$126,1),1))</f>
        <v>0</v>
      </c>
      <c r="E853" s="219">
        <f>INDEX('Step 4 Stage Discharge'!E$26:M$126,MATCH(C853,'Step 4 Stage Discharge'!E$26:E$126,1),9)+(INDEX('Step 4 Stage Discharge'!E$26:M$126,MATCH('Step 6 Quality Check'!C853,'Step 4 Stage Discharge'!E$26:E$126,1)+1,9)-INDEX('Step 4 Stage Discharge'!E$26:M$126,MATCH('Step 6 Quality Check'!C853,'Step 4 Stage Discharge'!E$26:E$126,1),9))*('Step 6 Quality Check'!C853-INDEX('Step 4 Stage Discharge'!E$26:M$126,MATCH('Step 6 Quality Check'!C853,'Step 4 Stage Discharge'!E$26:E$126,1),1))/(INDEX('Step 4 Stage Discharge'!E$26:M$126,MATCH('Step 6 Quality Check'!C853,'Step 4 Stage Discharge'!E$26:E$126,1)+1,1)-INDEX('Step 4 Stage Discharge'!E$26:M$126,MATCH('Step 6 Quality Check'!C853,'Step 4 Stage Discharge'!E$26:E$126,1),1))</f>
        <v>4.3639431710317386E-3</v>
      </c>
      <c r="F853" s="218">
        <f t="shared" si="65"/>
        <v>0</v>
      </c>
      <c r="G853" s="218">
        <f t="shared" si="66"/>
        <v>0</v>
      </c>
    </row>
    <row r="854" spans="1:7">
      <c r="A854" s="217">
        <f t="shared" si="67"/>
        <v>4190</v>
      </c>
      <c r="B854" s="216">
        <f t="shared" si="68"/>
        <v>99.1</v>
      </c>
      <c r="C854" s="218">
        <f t="shared" si="69"/>
        <v>0</v>
      </c>
      <c r="D854" s="219">
        <f>INDEX('Step 4 Stage Discharge'!E$26:F$126,MATCH(C854,'Step 4 Stage Discharge'!E$26:E$126,1),2)+(INDEX('Step 4 Stage Discharge'!E$26:F$126,MATCH(C854,'Step 4 Stage Discharge'!E$26:E$126,1)+1,2)-INDEX('Step 4 Stage Discharge'!E$26:F$126,MATCH(C854,'Step 4 Stage Discharge'!E$26:E$126,1),2))*(C854-INDEX('Step 4 Stage Discharge'!E$26:F$126,MATCH(C854,'Step 4 Stage Discharge'!E$26:E$126,1),1))/(INDEX('Step 4 Stage Discharge'!E$26:F$126,MATCH(C854,'Step 4 Stage Discharge'!E$26:E$126,1)+1,1)-INDEX('Step 4 Stage Discharge'!E$26:F$126,MATCH(C854,'Step 4 Stage Discharge'!E$26:E$126,1),1))</f>
        <v>0</v>
      </c>
      <c r="E854" s="219">
        <f>INDEX('Step 4 Stage Discharge'!E$26:M$126,MATCH(C854,'Step 4 Stage Discharge'!E$26:E$126,1),9)+(INDEX('Step 4 Stage Discharge'!E$26:M$126,MATCH('Step 6 Quality Check'!C854,'Step 4 Stage Discharge'!E$26:E$126,1)+1,9)-INDEX('Step 4 Stage Discharge'!E$26:M$126,MATCH('Step 6 Quality Check'!C854,'Step 4 Stage Discharge'!E$26:E$126,1),9))*('Step 6 Quality Check'!C854-INDEX('Step 4 Stage Discharge'!E$26:M$126,MATCH('Step 6 Quality Check'!C854,'Step 4 Stage Discharge'!E$26:E$126,1),1))/(INDEX('Step 4 Stage Discharge'!E$26:M$126,MATCH('Step 6 Quality Check'!C854,'Step 4 Stage Discharge'!E$26:E$126,1)+1,1)-INDEX('Step 4 Stage Discharge'!E$26:M$126,MATCH('Step 6 Quality Check'!C854,'Step 4 Stage Discharge'!E$26:E$126,1),1))</f>
        <v>4.3639431710317386E-3</v>
      </c>
      <c r="F854" s="218">
        <f t="shared" si="65"/>
        <v>0</v>
      </c>
      <c r="G854" s="218">
        <f t="shared" si="66"/>
        <v>0</v>
      </c>
    </row>
    <row r="855" spans="1:7">
      <c r="A855" s="217">
        <f t="shared" si="67"/>
        <v>4195</v>
      </c>
      <c r="B855" s="216">
        <f t="shared" si="68"/>
        <v>99.1</v>
      </c>
      <c r="C855" s="218">
        <f t="shared" si="69"/>
        <v>0</v>
      </c>
      <c r="D855" s="219">
        <f>INDEX('Step 4 Stage Discharge'!E$26:F$126,MATCH(C855,'Step 4 Stage Discharge'!E$26:E$126,1),2)+(INDEX('Step 4 Stage Discharge'!E$26:F$126,MATCH(C855,'Step 4 Stage Discharge'!E$26:E$126,1)+1,2)-INDEX('Step 4 Stage Discharge'!E$26:F$126,MATCH(C855,'Step 4 Stage Discharge'!E$26:E$126,1),2))*(C855-INDEX('Step 4 Stage Discharge'!E$26:F$126,MATCH(C855,'Step 4 Stage Discharge'!E$26:E$126,1),1))/(INDEX('Step 4 Stage Discharge'!E$26:F$126,MATCH(C855,'Step 4 Stage Discharge'!E$26:E$126,1)+1,1)-INDEX('Step 4 Stage Discharge'!E$26:F$126,MATCH(C855,'Step 4 Stage Discharge'!E$26:E$126,1),1))</f>
        <v>0</v>
      </c>
      <c r="E855" s="219">
        <f>INDEX('Step 4 Stage Discharge'!E$26:M$126,MATCH(C855,'Step 4 Stage Discharge'!E$26:E$126,1),9)+(INDEX('Step 4 Stage Discharge'!E$26:M$126,MATCH('Step 6 Quality Check'!C855,'Step 4 Stage Discharge'!E$26:E$126,1)+1,9)-INDEX('Step 4 Stage Discharge'!E$26:M$126,MATCH('Step 6 Quality Check'!C855,'Step 4 Stage Discharge'!E$26:E$126,1),9))*('Step 6 Quality Check'!C855-INDEX('Step 4 Stage Discharge'!E$26:M$126,MATCH('Step 6 Quality Check'!C855,'Step 4 Stage Discharge'!E$26:E$126,1),1))/(INDEX('Step 4 Stage Discharge'!E$26:M$126,MATCH('Step 6 Quality Check'!C855,'Step 4 Stage Discharge'!E$26:E$126,1)+1,1)-INDEX('Step 4 Stage Discharge'!E$26:M$126,MATCH('Step 6 Quality Check'!C855,'Step 4 Stage Discharge'!E$26:E$126,1),1))</f>
        <v>4.3639431710317386E-3</v>
      </c>
      <c r="F855" s="218">
        <f t="shared" si="65"/>
        <v>0</v>
      </c>
      <c r="G855" s="218">
        <f t="shared" si="66"/>
        <v>0</v>
      </c>
    </row>
    <row r="856" spans="1:7">
      <c r="A856" s="217">
        <f t="shared" si="67"/>
        <v>4200</v>
      </c>
      <c r="B856" s="216">
        <f t="shared" si="68"/>
        <v>99.1</v>
      </c>
      <c r="C856" s="218">
        <f t="shared" si="69"/>
        <v>0</v>
      </c>
      <c r="D856" s="219">
        <f>INDEX('Step 4 Stage Discharge'!E$26:F$126,MATCH(C856,'Step 4 Stage Discharge'!E$26:E$126,1),2)+(INDEX('Step 4 Stage Discharge'!E$26:F$126,MATCH(C856,'Step 4 Stage Discharge'!E$26:E$126,1)+1,2)-INDEX('Step 4 Stage Discharge'!E$26:F$126,MATCH(C856,'Step 4 Stage Discharge'!E$26:E$126,1),2))*(C856-INDEX('Step 4 Stage Discharge'!E$26:F$126,MATCH(C856,'Step 4 Stage Discharge'!E$26:E$126,1),1))/(INDEX('Step 4 Stage Discharge'!E$26:F$126,MATCH(C856,'Step 4 Stage Discharge'!E$26:E$126,1)+1,1)-INDEX('Step 4 Stage Discharge'!E$26:F$126,MATCH(C856,'Step 4 Stage Discharge'!E$26:E$126,1),1))</f>
        <v>0</v>
      </c>
      <c r="E856" s="219">
        <f>INDEX('Step 4 Stage Discharge'!E$26:M$126,MATCH(C856,'Step 4 Stage Discharge'!E$26:E$126,1),9)+(INDEX('Step 4 Stage Discharge'!E$26:M$126,MATCH('Step 6 Quality Check'!C856,'Step 4 Stage Discharge'!E$26:E$126,1)+1,9)-INDEX('Step 4 Stage Discharge'!E$26:M$126,MATCH('Step 6 Quality Check'!C856,'Step 4 Stage Discharge'!E$26:E$126,1),9))*('Step 6 Quality Check'!C856-INDEX('Step 4 Stage Discharge'!E$26:M$126,MATCH('Step 6 Quality Check'!C856,'Step 4 Stage Discharge'!E$26:E$126,1),1))/(INDEX('Step 4 Stage Discharge'!E$26:M$126,MATCH('Step 6 Quality Check'!C856,'Step 4 Stage Discharge'!E$26:E$126,1)+1,1)-INDEX('Step 4 Stage Discharge'!E$26:M$126,MATCH('Step 6 Quality Check'!C856,'Step 4 Stage Discharge'!E$26:E$126,1),1))</f>
        <v>4.3639431710317386E-3</v>
      </c>
      <c r="F856" s="218">
        <f t="shared" si="65"/>
        <v>0</v>
      </c>
      <c r="G856" s="218">
        <f t="shared" si="66"/>
        <v>0</v>
      </c>
    </row>
    <row r="857" spans="1:7">
      <c r="A857" s="217">
        <f t="shared" si="67"/>
        <v>4205</v>
      </c>
      <c r="B857" s="216">
        <f t="shared" si="68"/>
        <v>99.1</v>
      </c>
      <c r="C857" s="218">
        <f t="shared" si="69"/>
        <v>0</v>
      </c>
      <c r="D857" s="219">
        <f>INDEX('Step 4 Stage Discharge'!E$26:F$126,MATCH(C857,'Step 4 Stage Discharge'!E$26:E$126,1),2)+(INDEX('Step 4 Stage Discharge'!E$26:F$126,MATCH(C857,'Step 4 Stage Discharge'!E$26:E$126,1)+1,2)-INDEX('Step 4 Stage Discharge'!E$26:F$126,MATCH(C857,'Step 4 Stage Discharge'!E$26:E$126,1),2))*(C857-INDEX('Step 4 Stage Discharge'!E$26:F$126,MATCH(C857,'Step 4 Stage Discharge'!E$26:E$126,1),1))/(INDEX('Step 4 Stage Discharge'!E$26:F$126,MATCH(C857,'Step 4 Stage Discharge'!E$26:E$126,1)+1,1)-INDEX('Step 4 Stage Discharge'!E$26:F$126,MATCH(C857,'Step 4 Stage Discharge'!E$26:E$126,1),1))</f>
        <v>0</v>
      </c>
      <c r="E857" s="219">
        <f>INDEX('Step 4 Stage Discharge'!E$26:M$126,MATCH(C857,'Step 4 Stage Discharge'!E$26:E$126,1),9)+(INDEX('Step 4 Stage Discharge'!E$26:M$126,MATCH('Step 6 Quality Check'!C857,'Step 4 Stage Discharge'!E$26:E$126,1)+1,9)-INDEX('Step 4 Stage Discharge'!E$26:M$126,MATCH('Step 6 Quality Check'!C857,'Step 4 Stage Discharge'!E$26:E$126,1),9))*('Step 6 Quality Check'!C857-INDEX('Step 4 Stage Discharge'!E$26:M$126,MATCH('Step 6 Quality Check'!C857,'Step 4 Stage Discharge'!E$26:E$126,1),1))/(INDEX('Step 4 Stage Discharge'!E$26:M$126,MATCH('Step 6 Quality Check'!C857,'Step 4 Stage Discharge'!E$26:E$126,1)+1,1)-INDEX('Step 4 Stage Discharge'!E$26:M$126,MATCH('Step 6 Quality Check'!C857,'Step 4 Stage Discharge'!E$26:E$126,1),1))</f>
        <v>4.3639431710317386E-3</v>
      </c>
      <c r="F857" s="218">
        <f t="shared" si="65"/>
        <v>0</v>
      </c>
      <c r="G857" s="218">
        <f t="shared" si="66"/>
        <v>0</v>
      </c>
    </row>
    <row r="858" spans="1:7">
      <c r="A858" s="217">
        <f t="shared" si="67"/>
        <v>4210</v>
      </c>
      <c r="B858" s="216">
        <f t="shared" si="68"/>
        <v>99.1</v>
      </c>
      <c r="C858" s="218">
        <f t="shared" si="69"/>
        <v>0</v>
      </c>
      <c r="D858" s="219">
        <f>INDEX('Step 4 Stage Discharge'!E$26:F$126,MATCH(C858,'Step 4 Stage Discharge'!E$26:E$126,1),2)+(INDEX('Step 4 Stage Discharge'!E$26:F$126,MATCH(C858,'Step 4 Stage Discharge'!E$26:E$126,1)+1,2)-INDEX('Step 4 Stage Discharge'!E$26:F$126,MATCH(C858,'Step 4 Stage Discharge'!E$26:E$126,1),2))*(C858-INDEX('Step 4 Stage Discharge'!E$26:F$126,MATCH(C858,'Step 4 Stage Discharge'!E$26:E$126,1),1))/(INDEX('Step 4 Stage Discharge'!E$26:F$126,MATCH(C858,'Step 4 Stage Discharge'!E$26:E$126,1)+1,1)-INDEX('Step 4 Stage Discharge'!E$26:F$126,MATCH(C858,'Step 4 Stage Discharge'!E$26:E$126,1),1))</f>
        <v>0</v>
      </c>
      <c r="E858" s="219">
        <f>INDEX('Step 4 Stage Discharge'!E$26:M$126,MATCH(C858,'Step 4 Stage Discharge'!E$26:E$126,1),9)+(INDEX('Step 4 Stage Discharge'!E$26:M$126,MATCH('Step 6 Quality Check'!C858,'Step 4 Stage Discharge'!E$26:E$126,1)+1,9)-INDEX('Step 4 Stage Discharge'!E$26:M$126,MATCH('Step 6 Quality Check'!C858,'Step 4 Stage Discharge'!E$26:E$126,1),9))*('Step 6 Quality Check'!C858-INDEX('Step 4 Stage Discharge'!E$26:M$126,MATCH('Step 6 Quality Check'!C858,'Step 4 Stage Discharge'!E$26:E$126,1),1))/(INDEX('Step 4 Stage Discharge'!E$26:M$126,MATCH('Step 6 Quality Check'!C858,'Step 4 Stage Discharge'!E$26:E$126,1)+1,1)-INDEX('Step 4 Stage Discharge'!E$26:M$126,MATCH('Step 6 Quality Check'!C858,'Step 4 Stage Discharge'!E$26:E$126,1),1))</f>
        <v>4.3639431710317386E-3</v>
      </c>
      <c r="F858" s="218">
        <f t="shared" si="65"/>
        <v>0</v>
      </c>
      <c r="G858" s="218">
        <f t="shared" si="66"/>
        <v>0</v>
      </c>
    </row>
    <row r="859" spans="1:7">
      <c r="A859" s="217">
        <f t="shared" si="67"/>
        <v>4215</v>
      </c>
      <c r="B859" s="216">
        <f t="shared" si="68"/>
        <v>99.1</v>
      </c>
      <c r="C859" s="218">
        <f t="shared" si="69"/>
        <v>0</v>
      </c>
      <c r="D859" s="219">
        <f>INDEX('Step 4 Stage Discharge'!E$26:F$126,MATCH(C859,'Step 4 Stage Discharge'!E$26:E$126,1),2)+(INDEX('Step 4 Stage Discharge'!E$26:F$126,MATCH(C859,'Step 4 Stage Discharge'!E$26:E$126,1)+1,2)-INDEX('Step 4 Stage Discharge'!E$26:F$126,MATCH(C859,'Step 4 Stage Discharge'!E$26:E$126,1),2))*(C859-INDEX('Step 4 Stage Discharge'!E$26:F$126,MATCH(C859,'Step 4 Stage Discharge'!E$26:E$126,1),1))/(INDEX('Step 4 Stage Discharge'!E$26:F$126,MATCH(C859,'Step 4 Stage Discharge'!E$26:E$126,1)+1,1)-INDEX('Step 4 Stage Discharge'!E$26:F$126,MATCH(C859,'Step 4 Stage Discharge'!E$26:E$126,1),1))</f>
        <v>0</v>
      </c>
      <c r="E859" s="219">
        <f>INDEX('Step 4 Stage Discharge'!E$26:M$126,MATCH(C859,'Step 4 Stage Discharge'!E$26:E$126,1),9)+(INDEX('Step 4 Stage Discharge'!E$26:M$126,MATCH('Step 6 Quality Check'!C859,'Step 4 Stage Discharge'!E$26:E$126,1)+1,9)-INDEX('Step 4 Stage Discharge'!E$26:M$126,MATCH('Step 6 Quality Check'!C859,'Step 4 Stage Discharge'!E$26:E$126,1),9))*('Step 6 Quality Check'!C859-INDEX('Step 4 Stage Discharge'!E$26:M$126,MATCH('Step 6 Quality Check'!C859,'Step 4 Stage Discharge'!E$26:E$126,1),1))/(INDEX('Step 4 Stage Discharge'!E$26:M$126,MATCH('Step 6 Quality Check'!C859,'Step 4 Stage Discharge'!E$26:E$126,1)+1,1)-INDEX('Step 4 Stage Discharge'!E$26:M$126,MATCH('Step 6 Quality Check'!C859,'Step 4 Stage Discharge'!E$26:E$126,1),1))</f>
        <v>4.3639431710317386E-3</v>
      </c>
      <c r="F859" s="218">
        <f t="shared" si="65"/>
        <v>0</v>
      </c>
      <c r="G859" s="218">
        <f t="shared" si="66"/>
        <v>0</v>
      </c>
    </row>
    <row r="860" spans="1:7">
      <c r="A860" s="217">
        <f t="shared" si="67"/>
        <v>4220</v>
      </c>
      <c r="B860" s="216">
        <f t="shared" si="68"/>
        <v>99.1</v>
      </c>
      <c r="C860" s="218">
        <f t="shared" si="69"/>
        <v>0</v>
      </c>
      <c r="D860" s="219">
        <f>INDEX('Step 4 Stage Discharge'!E$26:F$126,MATCH(C860,'Step 4 Stage Discharge'!E$26:E$126,1),2)+(INDEX('Step 4 Stage Discharge'!E$26:F$126,MATCH(C860,'Step 4 Stage Discharge'!E$26:E$126,1)+1,2)-INDEX('Step 4 Stage Discharge'!E$26:F$126,MATCH(C860,'Step 4 Stage Discharge'!E$26:E$126,1),2))*(C860-INDEX('Step 4 Stage Discharge'!E$26:F$126,MATCH(C860,'Step 4 Stage Discharge'!E$26:E$126,1),1))/(INDEX('Step 4 Stage Discharge'!E$26:F$126,MATCH(C860,'Step 4 Stage Discharge'!E$26:E$126,1)+1,1)-INDEX('Step 4 Stage Discharge'!E$26:F$126,MATCH(C860,'Step 4 Stage Discharge'!E$26:E$126,1),1))</f>
        <v>0</v>
      </c>
      <c r="E860" s="219">
        <f>INDEX('Step 4 Stage Discharge'!E$26:M$126,MATCH(C860,'Step 4 Stage Discharge'!E$26:E$126,1),9)+(INDEX('Step 4 Stage Discharge'!E$26:M$126,MATCH('Step 6 Quality Check'!C860,'Step 4 Stage Discharge'!E$26:E$126,1)+1,9)-INDEX('Step 4 Stage Discharge'!E$26:M$126,MATCH('Step 6 Quality Check'!C860,'Step 4 Stage Discharge'!E$26:E$126,1),9))*('Step 6 Quality Check'!C860-INDEX('Step 4 Stage Discharge'!E$26:M$126,MATCH('Step 6 Quality Check'!C860,'Step 4 Stage Discharge'!E$26:E$126,1),1))/(INDEX('Step 4 Stage Discharge'!E$26:M$126,MATCH('Step 6 Quality Check'!C860,'Step 4 Stage Discharge'!E$26:E$126,1)+1,1)-INDEX('Step 4 Stage Discharge'!E$26:M$126,MATCH('Step 6 Quality Check'!C860,'Step 4 Stage Discharge'!E$26:E$126,1),1))</f>
        <v>4.3639431710317386E-3</v>
      </c>
      <c r="F860" s="218">
        <f t="shared" si="65"/>
        <v>0</v>
      </c>
      <c r="G860" s="218">
        <f t="shared" si="66"/>
        <v>0</v>
      </c>
    </row>
    <row r="861" spans="1:7">
      <c r="A861" s="217">
        <f t="shared" si="67"/>
        <v>4225</v>
      </c>
      <c r="B861" s="216">
        <f t="shared" si="68"/>
        <v>99.1</v>
      </c>
      <c r="C861" s="218">
        <f t="shared" si="69"/>
        <v>0</v>
      </c>
      <c r="D861" s="219">
        <f>INDEX('Step 4 Stage Discharge'!E$26:F$126,MATCH(C861,'Step 4 Stage Discharge'!E$26:E$126,1),2)+(INDEX('Step 4 Stage Discharge'!E$26:F$126,MATCH(C861,'Step 4 Stage Discharge'!E$26:E$126,1)+1,2)-INDEX('Step 4 Stage Discharge'!E$26:F$126,MATCH(C861,'Step 4 Stage Discharge'!E$26:E$126,1),2))*(C861-INDEX('Step 4 Stage Discharge'!E$26:F$126,MATCH(C861,'Step 4 Stage Discharge'!E$26:E$126,1),1))/(INDEX('Step 4 Stage Discharge'!E$26:F$126,MATCH(C861,'Step 4 Stage Discharge'!E$26:E$126,1)+1,1)-INDEX('Step 4 Stage Discharge'!E$26:F$126,MATCH(C861,'Step 4 Stage Discharge'!E$26:E$126,1),1))</f>
        <v>0</v>
      </c>
      <c r="E861" s="219">
        <f>INDEX('Step 4 Stage Discharge'!E$26:M$126,MATCH(C861,'Step 4 Stage Discharge'!E$26:E$126,1),9)+(INDEX('Step 4 Stage Discharge'!E$26:M$126,MATCH('Step 6 Quality Check'!C861,'Step 4 Stage Discharge'!E$26:E$126,1)+1,9)-INDEX('Step 4 Stage Discharge'!E$26:M$126,MATCH('Step 6 Quality Check'!C861,'Step 4 Stage Discharge'!E$26:E$126,1),9))*('Step 6 Quality Check'!C861-INDEX('Step 4 Stage Discharge'!E$26:M$126,MATCH('Step 6 Quality Check'!C861,'Step 4 Stage Discharge'!E$26:E$126,1),1))/(INDEX('Step 4 Stage Discharge'!E$26:M$126,MATCH('Step 6 Quality Check'!C861,'Step 4 Stage Discharge'!E$26:E$126,1)+1,1)-INDEX('Step 4 Stage Discharge'!E$26:M$126,MATCH('Step 6 Quality Check'!C861,'Step 4 Stage Discharge'!E$26:E$126,1),1))</f>
        <v>4.3639431710317386E-3</v>
      </c>
      <c r="F861" s="218">
        <f t="shared" si="65"/>
        <v>0</v>
      </c>
      <c r="G861" s="218">
        <f t="shared" si="66"/>
        <v>0</v>
      </c>
    </row>
    <row r="862" spans="1:7">
      <c r="A862" s="217">
        <f t="shared" si="67"/>
        <v>4230</v>
      </c>
      <c r="B862" s="216">
        <f t="shared" si="68"/>
        <v>99.1</v>
      </c>
      <c r="C862" s="218">
        <f t="shared" si="69"/>
        <v>0</v>
      </c>
      <c r="D862" s="219">
        <f>INDEX('Step 4 Stage Discharge'!E$26:F$126,MATCH(C862,'Step 4 Stage Discharge'!E$26:E$126,1),2)+(INDEX('Step 4 Stage Discharge'!E$26:F$126,MATCH(C862,'Step 4 Stage Discharge'!E$26:E$126,1)+1,2)-INDEX('Step 4 Stage Discharge'!E$26:F$126,MATCH(C862,'Step 4 Stage Discharge'!E$26:E$126,1),2))*(C862-INDEX('Step 4 Stage Discharge'!E$26:F$126,MATCH(C862,'Step 4 Stage Discharge'!E$26:E$126,1),1))/(INDEX('Step 4 Stage Discharge'!E$26:F$126,MATCH(C862,'Step 4 Stage Discharge'!E$26:E$126,1)+1,1)-INDEX('Step 4 Stage Discharge'!E$26:F$126,MATCH(C862,'Step 4 Stage Discharge'!E$26:E$126,1),1))</f>
        <v>0</v>
      </c>
      <c r="E862" s="219">
        <f>INDEX('Step 4 Stage Discharge'!E$26:M$126,MATCH(C862,'Step 4 Stage Discharge'!E$26:E$126,1),9)+(INDEX('Step 4 Stage Discharge'!E$26:M$126,MATCH('Step 6 Quality Check'!C862,'Step 4 Stage Discharge'!E$26:E$126,1)+1,9)-INDEX('Step 4 Stage Discharge'!E$26:M$126,MATCH('Step 6 Quality Check'!C862,'Step 4 Stage Discharge'!E$26:E$126,1),9))*('Step 6 Quality Check'!C862-INDEX('Step 4 Stage Discharge'!E$26:M$126,MATCH('Step 6 Quality Check'!C862,'Step 4 Stage Discharge'!E$26:E$126,1),1))/(INDEX('Step 4 Stage Discharge'!E$26:M$126,MATCH('Step 6 Quality Check'!C862,'Step 4 Stage Discharge'!E$26:E$126,1)+1,1)-INDEX('Step 4 Stage Discharge'!E$26:M$126,MATCH('Step 6 Quality Check'!C862,'Step 4 Stage Discharge'!E$26:E$126,1),1))</f>
        <v>4.3639431710317386E-3</v>
      </c>
      <c r="F862" s="218">
        <f t="shared" si="65"/>
        <v>0</v>
      </c>
      <c r="G862" s="218">
        <f t="shared" si="66"/>
        <v>0</v>
      </c>
    </row>
    <row r="863" spans="1:7">
      <c r="A863" s="217">
        <f t="shared" si="67"/>
        <v>4235</v>
      </c>
      <c r="B863" s="216">
        <f t="shared" si="68"/>
        <v>99.1</v>
      </c>
      <c r="C863" s="218">
        <f t="shared" si="69"/>
        <v>0</v>
      </c>
      <c r="D863" s="219">
        <f>INDEX('Step 4 Stage Discharge'!E$26:F$126,MATCH(C863,'Step 4 Stage Discharge'!E$26:E$126,1),2)+(INDEX('Step 4 Stage Discharge'!E$26:F$126,MATCH(C863,'Step 4 Stage Discharge'!E$26:E$126,1)+1,2)-INDEX('Step 4 Stage Discharge'!E$26:F$126,MATCH(C863,'Step 4 Stage Discharge'!E$26:E$126,1),2))*(C863-INDEX('Step 4 Stage Discharge'!E$26:F$126,MATCH(C863,'Step 4 Stage Discharge'!E$26:E$126,1),1))/(INDEX('Step 4 Stage Discharge'!E$26:F$126,MATCH(C863,'Step 4 Stage Discharge'!E$26:E$126,1)+1,1)-INDEX('Step 4 Stage Discharge'!E$26:F$126,MATCH(C863,'Step 4 Stage Discharge'!E$26:E$126,1),1))</f>
        <v>0</v>
      </c>
      <c r="E863" s="219">
        <f>INDEX('Step 4 Stage Discharge'!E$26:M$126,MATCH(C863,'Step 4 Stage Discharge'!E$26:E$126,1),9)+(INDEX('Step 4 Stage Discharge'!E$26:M$126,MATCH('Step 6 Quality Check'!C863,'Step 4 Stage Discharge'!E$26:E$126,1)+1,9)-INDEX('Step 4 Stage Discharge'!E$26:M$126,MATCH('Step 6 Quality Check'!C863,'Step 4 Stage Discharge'!E$26:E$126,1),9))*('Step 6 Quality Check'!C863-INDEX('Step 4 Stage Discharge'!E$26:M$126,MATCH('Step 6 Quality Check'!C863,'Step 4 Stage Discharge'!E$26:E$126,1),1))/(INDEX('Step 4 Stage Discharge'!E$26:M$126,MATCH('Step 6 Quality Check'!C863,'Step 4 Stage Discharge'!E$26:E$126,1)+1,1)-INDEX('Step 4 Stage Discharge'!E$26:M$126,MATCH('Step 6 Quality Check'!C863,'Step 4 Stage Discharge'!E$26:E$126,1),1))</f>
        <v>4.3639431710317386E-3</v>
      </c>
      <c r="F863" s="218">
        <f t="shared" si="65"/>
        <v>0</v>
      </c>
      <c r="G863" s="218">
        <f t="shared" si="66"/>
        <v>0</v>
      </c>
    </row>
    <row r="864" spans="1:7">
      <c r="A864" s="217">
        <f t="shared" si="67"/>
        <v>4240</v>
      </c>
      <c r="B864" s="216">
        <f t="shared" si="68"/>
        <v>99.1</v>
      </c>
      <c r="C864" s="218">
        <f t="shared" si="69"/>
        <v>0</v>
      </c>
      <c r="D864" s="219">
        <f>INDEX('Step 4 Stage Discharge'!E$26:F$126,MATCH(C864,'Step 4 Stage Discharge'!E$26:E$126,1),2)+(INDEX('Step 4 Stage Discharge'!E$26:F$126,MATCH(C864,'Step 4 Stage Discharge'!E$26:E$126,1)+1,2)-INDEX('Step 4 Stage Discharge'!E$26:F$126,MATCH(C864,'Step 4 Stage Discharge'!E$26:E$126,1),2))*(C864-INDEX('Step 4 Stage Discharge'!E$26:F$126,MATCH(C864,'Step 4 Stage Discharge'!E$26:E$126,1),1))/(INDEX('Step 4 Stage Discharge'!E$26:F$126,MATCH(C864,'Step 4 Stage Discharge'!E$26:E$126,1)+1,1)-INDEX('Step 4 Stage Discharge'!E$26:F$126,MATCH(C864,'Step 4 Stage Discharge'!E$26:E$126,1),1))</f>
        <v>0</v>
      </c>
      <c r="E864" s="219">
        <f>INDEX('Step 4 Stage Discharge'!E$26:M$126,MATCH(C864,'Step 4 Stage Discharge'!E$26:E$126,1),9)+(INDEX('Step 4 Stage Discharge'!E$26:M$126,MATCH('Step 6 Quality Check'!C864,'Step 4 Stage Discharge'!E$26:E$126,1)+1,9)-INDEX('Step 4 Stage Discharge'!E$26:M$126,MATCH('Step 6 Quality Check'!C864,'Step 4 Stage Discharge'!E$26:E$126,1),9))*('Step 6 Quality Check'!C864-INDEX('Step 4 Stage Discharge'!E$26:M$126,MATCH('Step 6 Quality Check'!C864,'Step 4 Stage Discharge'!E$26:E$126,1),1))/(INDEX('Step 4 Stage Discharge'!E$26:M$126,MATCH('Step 6 Quality Check'!C864,'Step 4 Stage Discharge'!E$26:E$126,1)+1,1)-INDEX('Step 4 Stage Discharge'!E$26:M$126,MATCH('Step 6 Quality Check'!C864,'Step 4 Stage Discharge'!E$26:E$126,1),1))</f>
        <v>4.3639431710317386E-3</v>
      </c>
      <c r="F864" s="218">
        <f t="shared" si="65"/>
        <v>0</v>
      </c>
      <c r="G864" s="218">
        <f t="shared" si="66"/>
        <v>0</v>
      </c>
    </row>
    <row r="865" spans="1:7">
      <c r="A865" s="217">
        <f t="shared" si="67"/>
        <v>4245</v>
      </c>
      <c r="B865" s="216">
        <f t="shared" si="68"/>
        <v>99.1</v>
      </c>
      <c r="C865" s="218">
        <f t="shared" si="69"/>
        <v>0</v>
      </c>
      <c r="D865" s="219">
        <f>INDEX('Step 4 Stage Discharge'!E$26:F$126,MATCH(C865,'Step 4 Stage Discharge'!E$26:E$126,1),2)+(INDEX('Step 4 Stage Discharge'!E$26:F$126,MATCH(C865,'Step 4 Stage Discharge'!E$26:E$126,1)+1,2)-INDEX('Step 4 Stage Discharge'!E$26:F$126,MATCH(C865,'Step 4 Stage Discharge'!E$26:E$126,1),2))*(C865-INDEX('Step 4 Stage Discharge'!E$26:F$126,MATCH(C865,'Step 4 Stage Discharge'!E$26:E$126,1),1))/(INDEX('Step 4 Stage Discharge'!E$26:F$126,MATCH(C865,'Step 4 Stage Discharge'!E$26:E$126,1)+1,1)-INDEX('Step 4 Stage Discharge'!E$26:F$126,MATCH(C865,'Step 4 Stage Discharge'!E$26:E$126,1),1))</f>
        <v>0</v>
      </c>
      <c r="E865" s="219">
        <f>INDEX('Step 4 Stage Discharge'!E$26:M$126,MATCH(C865,'Step 4 Stage Discharge'!E$26:E$126,1),9)+(INDEX('Step 4 Stage Discharge'!E$26:M$126,MATCH('Step 6 Quality Check'!C865,'Step 4 Stage Discharge'!E$26:E$126,1)+1,9)-INDEX('Step 4 Stage Discharge'!E$26:M$126,MATCH('Step 6 Quality Check'!C865,'Step 4 Stage Discharge'!E$26:E$126,1),9))*('Step 6 Quality Check'!C865-INDEX('Step 4 Stage Discharge'!E$26:M$126,MATCH('Step 6 Quality Check'!C865,'Step 4 Stage Discharge'!E$26:E$126,1),1))/(INDEX('Step 4 Stage Discharge'!E$26:M$126,MATCH('Step 6 Quality Check'!C865,'Step 4 Stage Discharge'!E$26:E$126,1)+1,1)-INDEX('Step 4 Stage Discharge'!E$26:M$126,MATCH('Step 6 Quality Check'!C865,'Step 4 Stage Discharge'!E$26:E$126,1),1))</f>
        <v>4.3639431710317386E-3</v>
      </c>
      <c r="F865" s="218">
        <f t="shared" si="65"/>
        <v>0</v>
      </c>
      <c r="G865" s="218">
        <f t="shared" si="66"/>
        <v>0</v>
      </c>
    </row>
    <row r="866" spans="1:7">
      <c r="A866" s="217">
        <f t="shared" si="67"/>
        <v>4250</v>
      </c>
      <c r="B866" s="216">
        <f t="shared" si="68"/>
        <v>99.1</v>
      </c>
      <c r="C866" s="218">
        <f t="shared" si="69"/>
        <v>0</v>
      </c>
      <c r="D866" s="219">
        <f>INDEX('Step 4 Stage Discharge'!E$26:F$126,MATCH(C866,'Step 4 Stage Discharge'!E$26:E$126,1),2)+(INDEX('Step 4 Stage Discharge'!E$26:F$126,MATCH(C866,'Step 4 Stage Discharge'!E$26:E$126,1)+1,2)-INDEX('Step 4 Stage Discharge'!E$26:F$126,MATCH(C866,'Step 4 Stage Discharge'!E$26:E$126,1),2))*(C866-INDEX('Step 4 Stage Discharge'!E$26:F$126,MATCH(C866,'Step 4 Stage Discharge'!E$26:E$126,1),1))/(INDEX('Step 4 Stage Discharge'!E$26:F$126,MATCH(C866,'Step 4 Stage Discharge'!E$26:E$126,1)+1,1)-INDEX('Step 4 Stage Discharge'!E$26:F$126,MATCH(C866,'Step 4 Stage Discharge'!E$26:E$126,1),1))</f>
        <v>0</v>
      </c>
      <c r="E866" s="219">
        <f>INDEX('Step 4 Stage Discharge'!E$26:M$126,MATCH(C866,'Step 4 Stage Discharge'!E$26:E$126,1),9)+(INDEX('Step 4 Stage Discharge'!E$26:M$126,MATCH('Step 6 Quality Check'!C866,'Step 4 Stage Discharge'!E$26:E$126,1)+1,9)-INDEX('Step 4 Stage Discharge'!E$26:M$126,MATCH('Step 6 Quality Check'!C866,'Step 4 Stage Discharge'!E$26:E$126,1),9))*('Step 6 Quality Check'!C866-INDEX('Step 4 Stage Discharge'!E$26:M$126,MATCH('Step 6 Quality Check'!C866,'Step 4 Stage Discharge'!E$26:E$126,1),1))/(INDEX('Step 4 Stage Discharge'!E$26:M$126,MATCH('Step 6 Quality Check'!C866,'Step 4 Stage Discharge'!E$26:E$126,1)+1,1)-INDEX('Step 4 Stage Discharge'!E$26:M$126,MATCH('Step 6 Quality Check'!C866,'Step 4 Stage Discharge'!E$26:E$126,1),1))</f>
        <v>4.3639431710317386E-3</v>
      </c>
      <c r="F866" s="218">
        <f t="shared" si="65"/>
        <v>0</v>
      </c>
      <c r="G866" s="218">
        <f t="shared" si="66"/>
        <v>0</v>
      </c>
    </row>
    <row r="867" spans="1:7">
      <c r="A867" s="217">
        <f t="shared" si="67"/>
        <v>4255</v>
      </c>
      <c r="B867" s="216">
        <f t="shared" si="68"/>
        <v>99.1</v>
      </c>
      <c r="C867" s="218">
        <f t="shared" si="69"/>
        <v>0</v>
      </c>
      <c r="D867" s="219">
        <f>INDEX('Step 4 Stage Discharge'!E$26:F$126,MATCH(C867,'Step 4 Stage Discharge'!E$26:E$126,1),2)+(INDEX('Step 4 Stage Discharge'!E$26:F$126,MATCH(C867,'Step 4 Stage Discharge'!E$26:E$126,1)+1,2)-INDEX('Step 4 Stage Discharge'!E$26:F$126,MATCH(C867,'Step 4 Stage Discharge'!E$26:E$126,1),2))*(C867-INDEX('Step 4 Stage Discharge'!E$26:F$126,MATCH(C867,'Step 4 Stage Discharge'!E$26:E$126,1),1))/(INDEX('Step 4 Stage Discharge'!E$26:F$126,MATCH(C867,'Step 4 Stage Discharge'!E$26:E$126,1)+1,1)-INDEX('Step 4 Stage Discharge'!E$26:F$126,MATCH(C867,'Step 4 Stage Discharge'!E$26:E$126,1),1))</f>
        <v>0</v>
      </c>
      <c r="E867" s="219">
        <f>INDEX('Step 4 Stage Discharge'!E$26:M$126,MATCH(C867,'Step 4 Stage Discharge'!E$26:E$126,1),9)+(INDEX('Step 4 Stage Discharge'!E$26:M$126,MATCH('Step 6 Quality Check'!C867,'Step 4 Stage Discharge'!E$26:E$126,1)+1,9)-INDEX('Step 4 Stage Discharge'!E$26:M$126,MATCH('Step 6 Quality Check'!C867,'Step 4 Stage Discharge'!E$26:E$126,1),9))*('Step 6 Quality Check'!C867-INDEX('Step 4 Stage Discharge'!E$26:M$126,MATCH('Step 6 Quality Check'!C867,'Step 4 Stage Discharge'!E$26:E$126,1),1))/(INDEX('Step 4 Stage Discharge'!E$26:M$126,MATCH('Step 6 Quality Check'!C867,'Step 4 Stage Discharge'!E$26:E$126,1)+1,1)-INDEX('Step 4 Stage Discharge'!E$26:M$126,MATCH('Step 6 Quality Check'!C867,'Step 4 Stage Discharge'!E$26:E$126,1),1))</f>
        <v>4.3639431710317386E-3</v>
      </c>
      <c r="F867" s="218">
        <f t="shared" si="65"/>
        <v>0</v>
      </c>
      <c r="G867" s="218">
        <f t="shared" si="66"/>
        <v>0</v>
      </c>
    </row>
    <row r="868" spans="1:7">
      <c r="A868" s="217">
        <f t="shared" si="67"/>
        <v>4260</v>
      </c>
      <c r="B868" s="216">
        <f t="shared" si="68"/>
        <v>99.1</v>
      </c>
      <c r="C868" s="218">
        <f t="shared" si="69"/>
        <v>0</v>
      </c>
      <c r="D868" s="219">
        <f>INDEX('Step 4 Stage Discharge'!E$26:F$126,MATCH(C868,'Step 4 Stage Discharge'!E$26:E$126,1),2)+(INDEX('Step 4 Stage Discharge'!E$26:F$126,MATCH(C868,'Step 4 Stage Discharge'!E$26:E$126,1)+1,2)-INDEX('Step 4 Stage Discharge'!E$26:F$126,MATCH(C868,'Step 4 Stage Discharge'!E$26:E$126,1),2))*(C868-INDEX('Step 4 Stage Discharge'!E$26:F$126,MATCH(C868,'Step 4 Stage Discharge'!E$26:E$126,1),1))/(INDEX('Step 4 Stage Discharge'!E$26:F$126,MATCH(C868,'Step 4 Stage Discharge'!E$26:E$126,1)+1,1)-INDEX('Step 4 Stage Discharge'!E$26:F$126,MATCH(C868,'Step 4 Stage Discharge'!E$26:E$126,1),1))</f>
        <v>0</v>
      </c>
      <c r="E868" s="219">
        <f>INDEX('Step 4 Stage Discharge'!E$26:M$126,MATCH(C868,'Step 4 Stage Discharge'!E$26:E$126,1),9)+(INDEX('Step 4 Stage Discharge'!E$26:M$126,MATCH('Step 6 Quality Check'!C868,'Step 4 Stage Discharge'!E$26:E$126,1)+1,9)-INDEX('Step 4 Stage Discharge'!E$26:M$126,MATCH('Step 6 Quality Check'!C868,'Step 4 Stage Discharge'!E$26:E$126,1),9))*('Step 6 Quality Check'!C868-INDEX('Step 4 Stage Discharge'!E$26:M$126,MATCH('Step 6 Quality Check'!C868,'Step 4 Stage Discharge'!E$26:E$126,1),1))/(INDEX('Step 4 Stage Discharge'!E$26:M$126,MATCH('Step 6 Quality Check'!C868,'Step 4 Stage Discharge'!E$26:E$126,1)+1,1)-INDEX('Step 4 Stage Discharge'!E$26:M$126,MATCH('Step 6 Quality Check'!C868,'Step 4 Stage Discharge'!E$26:E$126,1),1))</f>
        <v>4.3639431710317386E-3</v>
      </c>
      <c r="F868" s="218">
        <f t="shared" si="65"/>
        <v>0</v>
      </c>
      <c r="G868" s="218">
        <f t="shared" si="66"/>
        <v>0</v>
      </c>
    </row>
    <row r="869" spans="1:7">
      <c r="A869" s="217">
        <f t="shared" si="67"/>
        <v>4265</v>
      </c>
      <c r="B869" s="216">
        <f t="shared" si="68"/>
        <v>99.1</v>
      </c>
      <c r="C869" s="218">
        <f t="shared" si="69"/>
        <v>0</v>
      </c>
      <c r="D869" s="219">
        <f>INDEX('Step 4 Stage Discharge'!E$26:F$126,MATCH(C869,'Step 4 Stage Discharge'!E$26:E$126,1),2)+(INDEX('Step 4 Stage Discharge'!E$26:F$126,MATCH(C869,'Step 4 Stage Discharge'!E$26:E$126,1)+1,2)-INDEX('Step 4 Stage Discharge'!E$26:F$126,MATCH(C869,'Step 4 Stage Discharge'!E$26:E$126,1),2))*(C869-INDEX('Step 4 Stage Discharge'!E$26:F$126,MATCH(C869,'Step 4 Stage Discharge'!E$26:E$126,1),1))/(INDEX('Step 4 Stage Discharge'!E$26:F$126,MATCH(C869,'Step 4 Stage Discharge'!E$26:E$126,1)+1,1)-INDEX('Step 4 Stage Discharge'!E$26:F$126,MATCH(C869,'Step 4 Stage Discharge'!E$26:E$126,1),1))</f>
        <v>0</v>
      </c>
      <c r="E869" s="219">
        <f>INDEX('Step 4 Stage Discharge'!E$26:M$126,MATCH(C869,'Step 4 Stage Discharge'!E$26:E$126,1),9)+(INDEX('Step 4 Stage Discharge'!E$26:M$126,MATCH('Step 6 Quality Check'!C869,'Step 4 Stage Discharge'!E$26:E$126,1)+1,9)-INDEX('Step 4 Stage Discharge'!E$26:M$126,MATCH('Step 6 Quality Check'!C869,'Step 4 Stage Discharge'!E$26:E$126,1),9))*('Step 6 Quality Check'!C869-INDEX('Step 4 Stage Discharge'!E$26:M$126,MATCH('Step 6 Quality Check'!C869,'Step 4 Stage Discharge'!E$26:E$126,1),1))/(INDEX('Step 4 Stage Discharge'!E$26:M$126,MATCH('Step 6 Quality Check'!C869,'Step 4 Stage Discharge'!E$26:E$126,1)+1,1)-INDEX('Step 4 Stage Discharge'!E$26:M$126,MATCH('Step 6 Quality Check'!C869,'Step 4 Stage Discharge'!E$26:E$126,1),1))</f>
        <v>4.3639431710317386E-3</v>
      </c>
      <c r="F869" s="218">
        <f t="shared" si="65"/>
        <v>0</v>
      </c>
      <c r="G869" s="218">
        <f t="shared" si="66"/>
        <v>0</v>
      </c>
    </row>
    <row r="870" spans="1:7">
      <c r="A870" s="217">
        <f t="shared" si="67"/>
        <v>4270</v>
      </c>
      <c r="B870" s="216">
        <f t="shared" si="68"/>
        <v>99.1</v>
      </c>
      <c r="C870" s="218">
        <f t="shared" si="69"/>
        <v>0</v>
      </c>
      <c r="D870" s="219">
        <f>INDEX('Step 4 Stage Discharge'!E$26:F$126,MATCH(C870,'Step 4 Stage Discharge'!E$26:E$126,1),2)+(INDEX('Step 4 Stage Discharge'!E$26:F$126,MATCH(C870,'Step 4 Stage Discharge'!E$26:E$126,1)+1,2)-INDEX('Step 4 Stage Discharge'!E$26:F$126,MATCH(C870,'Step 4 Stage Discharge'!E$26:E$126,1),2))*(C870-INDEX('Step 4 Stage Discharge'!E$26:F$126,MATCH(C870,'Step 4 Stage Discharge'!E$26:E$126,1),1))/(INDEX('Step 4 Stage Discharge'!E$26:F$126,MATCH(C870,'Step 4 Stage Discharge'!E$26:E$126,1)+1,1)-INDEX('Step 4 Stage Discharge'!E$26:F$126,MATCH(C870,'Step 4 Stage Discharge'!E$26:E$126,1),1))</f>
        <v>0</v>
      </c>
      <c r="E870" s="219">
        <f>INDEX('Step 4 Stage Discharge'!E$26:M$126,MATCH(C870,'Step 4 Stage Discharge'!E$26:E$126,1),9)+(INDEX('Step 4 Stage Discharge'!E$26:M$126,MATCH('Step 6 Quality Check'!C870,'Step 4 Stage Discharge'!E$26:E$126,1)+1,9)-INDEX('Step 4 Stage Discharge'!E$26:M$126,MATCH('Step 6 Quality Check'!C870,'Step 4 Stage Discharge'!E$26:E$126,1),9))*('Step 6 Quality Check'!C870-INDEX('Step 4 Stage Discharge'!E$26:M$126,MATCH('Step 6 Quality Check'!C870,'Step 4 Stage Discharge'!E$26:E$126,1),1))/(INDEX('Step 4 Stage Discharge'!E$26:M$126,MATCH('Step 6 Quality Check'!C870,'Step 4 Stage Discharge'!E$26:E$126,1)+1,1)-INDEX('Step 4 Stage Discharge'!E$26:M$126,MATCH('Step 6 Quality Check'!C870,'Step 4 Stage Discharge'!E$26:E$126,1),1))</f>
        <v>4.3639431710317386E-3</v>
      </c>
      <c r="F870" s="218">
        <f t="shared" si="65"/>
        <v>0</v>
      </c>
      <c r="G870" s="218">
        <f t="shared" si="66"/>
        <v>0</v>
      </c>
    </row>
    <row r="871" spans="1:7">
      <c r="A871" s="217">
        <f t="shared" si="67"/>
        <v>4275</v>
      </c>
      <c r="B871" s="216">
        <f t="shared" si="68"/>
        <v>99.1</v>
      </c>
      <c r="C871" s="218">
        <f t="shared" si="69"/>
        <v>0</v>
      </c>
      <c r="D871" s="219">
        <f>INDEX('Step 4 Stage Discharge'!E$26:F$126,MATCH(C871,'Step 4 Stage Discharge'!E$26:E$126,1),2)+(INDEX('Step 4 Stage Discharge'!E$26:F$126,MATCH(C871,'Step 4 Stage Discharge'!E$26:E$126,1)+1,2)-INDEX('Step 4 Stage Discharge'!E$26:F$126,MATCH(C871,'Step 4 Stage Discharge'!E$26:E$126,1),2))*(C871-INDEX('Step 4 Stage Discharge'!E$26:F$126,MATCH(C871,'Step 4 Stage Discharge'!E$26:E$126,1),1))/(INDEX('Step 4 Stage Discharge'!E$26:F$126,MATCH(C871,'Step 4 Stage Discharge'!E$26:E$126,1)+1,1)-INDEX('Step 4 Stage Discharge'!E$26:F$126,MATCH(C871,'Step 4 Stage Discharge'!E$26:E$126,1),1))</f>
        <v>0</v>
      </c>
      <c r="E871" s="219">
        <f>INDEX('Step 4 Stage Discharge'!E$26:M$126,MATCH(C871,'Step 4 Stage Discharge'!E$26:E$126,1),9)+(INDEX('Step 4 Stage Discharge'!E$26:M$126,MATCH('Step 6 Quality Check'!C871,'Step 4 Stage Discharge'!E$26:E$126,1)+1,9)-INDEX('Step 4 Stage Discharge'!E$26:M$126,MATCH('Step 6 Quality Check'!C871,'Step 4 Stage Discharge'!E$26:E$126,1),9))*('Step 6 Quality Check'!C871-INDEX('Step 4 Stage Discharge'!E$26:M$126,MATCH('Step 6 Quality Check'!C871,'Step 4 Stage Discharge'!E$26:E$126,1),1))/(INDEX('Step 4 Stage Discharge'!E$26:M$126,MATCH('Step 6 Quality Check'!C871,'Step 4 Stage Discharge'!E$26:E$126,1)+1,1)-INDEX('Step 4 Stage Discharge'!E$26:M$126,MATCH('Step 6 Quality Check'!C871,'Step 4 Stage Discharge'!E$26:E$126,1),1))</f>
        <v>4.3639431710317386E-3</v>
      </c>
      <c r="F871" s="218">
        <f t="shared" si="65"/>
        <v>0</v>
      </c>
      <c r="G871" s="218">
        <f t="shared" si="66"/>
        <v>0</v>
      </c>
    </row>
    <row r="872" spans="1:7">
      <c r="A872" s="217">
        <f t="shared" si="67"/>
        <v>4280</v>
      </c>
      <c r="B872" s="216">
        <f t="shared" si="68"/>
        <v>99.1</v>
      </c>
      <c r="C872" s="218">
        <f t="shared" si="69"/>
        <v>0</v>
      </c>
      <c r="D872" s="219">
        <f>INDEX('Step 4 Stage Discharge'!E$26:F$126,MATCH(C872,'Step 4 Stage Discharge'!E$26:E$126,1),2)+(INDEX('Step 4 Stage Discharge'!E$26:F$126,MATCH(C872,'Step 4 Stage Discharge'!E$26:E$126,1)+1,2)-INDEX('Step 4 Stage Discharge'!E$26:F$126,MATCH(C872,'Step 4 Stage Discharge'!E$26:E$126,1),2))*(C872-INDEX('Step 4 Stage Discharge'!E$26:F$126,MATCH(C872,'Step 4 Stage Discharge'!E$26:E$126,1),1))/(INDEX('Step 4 Stage Discharge'!E$26:F$126,MATCH(C872,'Step 4 Stage Discharge'!E$26:E$126,1)+1,1)-INDEX('Step 4 Stage Discharge'!E$26:F$126,MATCH(C872,'Step 4 Stage Discharge'!E$26:E$126,1),1))</f>
        <v>0</v>
      </c>
      <c r="E872" s="219">
        <f>INDEX('Step 4 Stage Discharge'!E$26:M$126,MATCH(C872,'Step 4 Stage Discharge'!E$26:E$126,1),9)+(INDEX('Step 4 Stage Discharge'!E$26:M$126,MATCH('Step 6 Quality Check'!C872,'Step 4 Stage Discharge'!E$26:E$126,1)+1,9)-INDEX('Step 4 Stage Discharge'!E$26:M$126,MATCH('Step 6 Quality Check'!C872,'Step 4 Stage Discharge'!E$26:E$126,1),9))*('Step 6 Quality Check'!C872-INDEX('Step 4 Stage Discharge'!E$26:M$126,MATCH('Step 6 Quality Check'!C872,'Step 4 Stage Discharge'!E$26:E$126,1),1))/(INDEX('Step 4 Stage Discharge'!E$26:M$126,MATCH('Step 6 Quality Check'!C872,'Step 4 Stage Discharge'!E$26:E$126,1)+1,1)-INDEX('Step 4 Stage Discharge'!E$26:M$126,MATCH('Step 6 Quality Check'!C872,'Step 4 Stage Discharge'!E$26:E$126,1),1))</f>
        <v>4.3639431710317386E-3</v>
      </c>
      <c r="F872" s="218">
        <f t="shared" si="65"/>
        <v>0</v>
      </c>
      <c r="G872" s="218">
        <f t="shared" si="66"/>
        <v>0</v>
      </c>
    </row>
    <row r="873" spans="1:7">
      <c r="A873" s="217">
        <f t="shared" si="67"/>
        <v>4285</v>
      </c>
      <c r="B873" s="216">
        <f t="shared" si="68"/>
        <v>99.1</v>
      </c>
      <c r="C873" s="218">
        <f t="shared" si="69"/>
        <v>0</v>
      </c>
      <c r="D873" s="219">
        <f>INDEX('Step 4 Stage Discharge'!E$26:F$126,MATCH(C873,'Step 4 Stage Discharge'!E$26:E$126,1),2)+(INDEX('Step 4 Stage Discharge'!E$26:F$126,MATCH(C873,'Step 4 Stage Discharge'!E$26:E$126,1)+1,2)-INDEX('Step 4 Stage Discharge'!E$26:F$126,MATCH(C873,'Step 4 Stage Discharge'!E$26:E$126,1),2))*(C873-INDEX('Step 4 Stage Discharge'!E$26:F$126,MATCH(C873,'Step 4 Stage Discharge'!E$26:E$126,1),1))/(INDEX('Step 4 Stage Discharge'!E$26:F$126,MATCH(C873,'Step 4 Stage Discharge'!E$26:E$126,1)+1,1)-INDEX('Step 4 Stage Discharge'!E$26:F$126,MATCH(C873,'Step 4 Stage Discharge'!E$26:E$126,1),1))</f>
        <v>0</v>
      </c>
      <c r="E873" s="219">
        <f>INDEX('Step 4 Stage Discharge'!E$26:M$126,MATCH(C873,'Step 4 Stage Discharge'!E$26:E$126,1),9)+(INDEX('Step 4 Stage Discharge'!E$26:M$126,MATCH('Step 6 Quality Check'!C873,'Step 4 Stage Discharge'!E$26:E$126,1)+1,9)-INDEX('Step 4 Stage Discharge'!E$26:M$126,MATCH('Step 6 Quality Check'!C873,'Step 4 Stage Discharge'!E$26:E$126,1),9))*('Step 6 Quality Check'!C873-INDEX('Step 4 Stage Discharge'!E$26:M$126,MATCH('Step 6 Quality Check'!C873,'Step 4 Stage Discharge'!E$26:E$126,1),1))/(INDEX('Step 4 Stage Discharge'!E$26:M$126,MATCH('Step 6 Quality Check'!C873,'Step 4 Stage Discharge'!E$26:E$126,1)+1,1)-INDEX('Step 4 Stage Discharge'!E$26:M$126,MATCH('Step 6 Quality Check'!C873,'Step 4 Stage Discharge'!E$26:E$126,1),1))</f>
        <v>4.3639431710317386E-3</v>
      </c>
      <c r="F873" s="218">
        <f t="shared" si="65"/>
        <v>0</v>
      </c>
      <c r="G873" s="218">
        <f t="shared" si="66"/>
        <v>0</v>
      </c>
    </row>
    <row r="874" spans="1:7">
      <c r="A874" s="217">
        <f t="shared" si="67"/>
        <v>4290</v>
      </c>
      <c r="B874" s="216">
        <f t="shared" si="68"/>
        <v>99.1</v>
      </c>
      <c r="C874" s="218">
        <f t="shared" si="69"/>
        <v>0</v>
      </c>
      <c r="D874" s="219">
        <f>INDEX('Step 4 Stage Discharge'!E$26:F$126,MATCH(C874,'Step 4 Stage Discharge'!E$26:E$126,1),2)+(INDEX('Step 4 Stage Discharge'!E$26:F$126,MATCH(C874,'Step 4 Stage Discharge'!E$26:E$126,1)+1,2)-INDEX('Step 4 Stage Discharge'!E$26:F$126,MATCH(C874,'Step 4 Stage Discharge'!E$26:E$126,1),2))*(C874-INDEX('Step 4 Stage Discharge'!E$26:F$126,MATCH(C874,'Step 4 Stage Discharge'!E$26:E$126,1),1))/(INDEX('Step 4 Stage Discharge'!E$26:F$126,MATCH(C874,'Step 4 Stage Discharge'!E$26:E$126,1)+1,1)-INDEX('Step 4 Stage Discharge'!E$26:F$126,MATCH(C874,'Step 4 Stage Discharge'!E$26:E$126,1),1))</f>
        <v>0</v>
      </c>
      <c r="E874" s="219">
        <f>INDEX('Step 4 Stage Discharge'!E$26:M$126,MATCH(C874,'Step 4 Stage Discharge'!E$26:E$126,1),9)+(INDEX('Step 4 Stage Discharge'!E$26:M$126,MATCH('Step 6 Quality Check'!C874,'Step 4 Stage Discharge'!E$26:E$126,1)+1,9)-INDEX('Step 4 Stage Discharge'!E$26:M$126,MATCH('Step 6 Quality Check'!C874,'Step 4 Stage Discharge'!E$26:E$126,1),9))*('Step 6 Quality Check'!C874-INDEX('Step 4 Stage Discharge'!E$26:M$126,MATCH('Step 6 Quality Check'!C874,'Step 4 Stage Discharge'!E$26:E$126,1),1))/(INDEX('Step 4 Stage Discharge'!E$26:M$126,MATCH('Step 6 Quality Check'!C874,'Step 4 Stage Discharge'!E$26:E$126,1)+1,1)-INDEX('Step 4 Stage Discharge'!E$26:M$126,MATCH('Step 6 Quality Check'!C874,'Step 4 Stage Discharge'!E$26:E$126,1),1))</f>
        <v>4.3639431710317386E-3</v>
      </c>
      <c r="F874" s="218">
        <f t="shared" si="65"/>
        <v>0</v>
      </c>
      <c r="G874" s="218">
        <f t="shared" si="66"/>
        <v>0</v>
      </c>
    </row>
    <row r="875" spans="1:7">
      <c r="A875" s="217">
        <f t="shared" si="67"/>
        <v>4295</v>
      </c>
      <c r="B875" s="216">
        <f t="shared" si="68"/>
        <v>99.1</v>
      </c>
      <c r="C875" s="218">
        <f t="shared" si="69"/>
        <v>0</v>
      </c>
      <c r="D875" s="219">
        <f>INDEX('Step 4 Stage Discharge'!E$26:F$126,MATCH(C875,'Step 4 Stage Discharge'!E$26:E$126,1),2)+(INDEX('Step 4 Stage Discharge'!E$26:F$126,MATCH(C875,'Step 4 Stage Discharge'!E$26:E$126,1)+1,2)-INDEX('Step 4 Stage Discharge'!E$26:F$126,MATCH(C875,'Step 4 Stage Discharge'!E$26:E$126,1),2))*(C875-INDEX('Step 4 Stage Discharge'!E$26:F$126,MATCH(C875,'Step 4 Stage Discharge'!E$26:E$126,1),1))/(INDEX('Step 4 Stage Discharge'!E$26:F$126,MATCH(C875,'Step 4 Stage Discharge'!E$26:E$126,1)+1,1)-INDEX('Step 4 Stage Discharge'!E$26:F$126,MATCH(C875,'Step 4 Stage Discharge'!E$26:E$126,1),1))</f>
        <v>0</v>
      </c>
      <c r="E875" s="219">
        <f>INDEX('Step 4 Stage Discharge'!E$26:M$126,MATCH(C875,'Step 4 Stage Discharge'!E$26:E$126,1),9)+(INDEX('Step 4 Stage Discharge'!E$26:M$126,MATCH('Step 6 Quality Check'!C875,'Step 4 Stage Discharge'!E$26:E$126,1)+1,9)-INDEX('Step 4 Stage Discharge'!E$26:M$126,MATCH('Step 6 Quality Check'!C875,'Step 4 Stage Discharge'!E$26:E$126,1),9))*('Step 6 Quality Check'!C875-INDEX('Step 4 Stage Discharge'!E$26:M$126,MATCH('Step 6 Quality Check'!C875,'Step 4 Stage Discharge'!E$26:E$126,1),1))/(INDEX('Step 4 Stage Discharge'!E$26:M$126,MATCH('Step 6 Quality Check'!C875,'Step 4 Stage Discharge'!E$26:E$126,1)+1,1)-INDEX('Step 4 Stage Discharge'!E$26:M$126,MATCH('Step 6 Quality Check'!C875,'Step 4 Stage Discharge'!E$26:E$126,1),1))</f>
        <v>4.3639431710317386E-3</v>
      </c>
      <c r="F875" s="218">
        <f t="shared" si="65"/>
        <v>0</v>
      </c>
      <c r="G875" s="218">
        <f t="shared" si="66"/>
        <v>0</v>
      </c>
    </row>
    <row r="876" spans="1:7">
      <c r="A876" s="217">
        <f t="shared" si="67"/>
        <v>4300</v>
      </c>
      <c r="B876" s="216">
        <f t="shared" si="68"/>
        <v>99.1</v>
      </c>
      <c r="C876" s="218">
        <f t="shared" si="69"/>
        <v>0</v>
      </c>
      <c r="D876" s="219">
        <f>INDEX('Step 4 Stage Discharge'!E$26:F$126,MATCH(C876,'Step 4 Stage Discharge'!E$26:E$126,1),2)+(INDEX('Step 4 Stage Discharge'!E$26:F$126,MATCH(C876,'Step 4 Stage Discharge'!E$26:E$126,1)+1,2)-INDEX('Step 4 Stage Discharge'!E$26:F$126,MATCH(C876,'Step 4 Stage Discharge'!E$26:E$126,1),2))*(C876-INDEX('Step 4 Stage Discharge'!E$26:F$126,MATCH(C876,'Step 4 Stage Discharge'!E$26:E$126,1),1))/(INDEX('Step 4 Stage Discharge'!E$26:F$126,MATCH(C876,'Step 4 Stage Discharge'!E$26:E$126,1)+1,1)-INDEX('Step 4 Stage Discharge'!E$26:F$126,MATCH(C876,'Step 4 Stage Discharge'!E$26:E$126,1),1))</f>
        <v>0</v>
      </c>
      <c r="E876" s="219">
        <f>INDEX('Step 4 Stage Discharge'!E$26:M$126,MATCH(C876,'Step 4 Stage Discharge'!E$26:E$126,1),9)+(INDEX('Step 4 Stage Discharge'!E$26:M$126,MATCH('Step 6 Quality Check'!C876,'Step 4 Stage Discharge'!E$26:E$126,1)+1,9)-INDEX('Step 4 Stage Discharge'!E$26:M$126,MATCH('Step 6 Quality Check'!C876,'Step 4 Stage Discharge'!E$26:E$126,1),9))*('Step 6 Quality Check'!C876-INDEX('Step 4 Stage Discharge'!E$26:M$126,MATCH('Step 6 Quality Check'!C876,'Step 4 Stage Discharge'!E$26:E$126,1),1))/(INDEX('Step 4 Stage Discharge'!E$26:M$126,MATCH('Step 6 Quality Check'!C876,'Step 4 Stage Discharge'!E$26:E$126,1)+1,1)-INDEX('Step 4 Stage Discharge'!E$26:M$126,MATCH('Step 6 Quality Check'!C876,'Step 4 Stage Discharge'!E$26:E$126,1),1))</f>
        <v>4.3639431710317386E-3</v>
      </c>
      <c r="F876" s="218">
        <f t="shared" si="65"/>
        <v>0</v>
      </c>
      <c r="G876" s="218">
        <f t="shared" si="66"/>
        <v>0</v>
      </c>
    </row>
    <row r="877" spans="1:7">
      <c r="A877" s="217">
        <f t="shared" si="67"/>
        <v>4305</v>
      </c>
      <c r="B877" s="216">
        <f t="shared" si="68"/>
        <v>99.1</v>
      </c>
      <c r="C877" s="218">
        <f t="shared" si="69"/>
        <v>0</v>
      </c>
      <c r="D877" s="219">
        <f>INDEX('Step 4 Stage Discharge'!E$26:F$126,MATCH(C877,'Step 4 Stage Discharge'!E$26:E$126,1),2)+(INDEX('Step 4 Stage Discharge'!E$26:F$126,MATCH(C877,'Step 4 Stage Discharge'!E$26:E$126,1)+1,2)-INDEX('Step 4 Stage Discharge'!E$26:F$126,MATCH(C877,'Step 4 Stage Discharge'!E$26:E$126,1),2))*(C877-INDEX('Step 4 Stage Discharge'!E$26:F$126,MATCH(C877,'Step 4 Stage Discharge'!E$26:E$126,1),1))/(INDEX('Step 4 Stage Discharge'!E$26:F$126,MATCH(C877,'Step 4 Stage Discharge'!E$26:E$126,1)+1,1)-INDEX('Step 4 Stage Discharge'!E$26:F$126,MATCH(C877,'Step 4 Stage Discharge'!E$26:E$126,1),1))</f>
        <v>0</v>
      </c>
      <c r="E877" s="219">
        <f>INDEX('Step 4 Stage Discharge'!E$26:M$126,MATCH(C877,'Step 4 Stage Discharge'!E$26:E$126,1),9)+(INDEX('Step 4 Stage Discharge'!E$26:M$126,MATCH('Step 6 Quality Check'!C877,'Step 4 Stage Discharge'!E$26:E$126,1)+1,9)-INDEX('Step 4 Stage Discharge'!E$26:M$126,MATCH('Step 6 Quality Check'!C877,'Step 4 Stage Discharge'!E$26:E$126,1),9))*('Step 6 Quality Check'!C877-INDEX('Step 4 Stage Discharge'!E$26:M$126,MATCH('Step 6 Quality Check'!C877,'Step 4 Stage Discharge'!E$26:E$126,1),1))/(INDEX('Step 4 Stage Discharge'!E$26:M$126,MATCH('Step 6 Quality Check'!C877,'Step 4 Stage Discharge'!E$26:E$126,1)+1,1)-INDEX('Step 4 Stage Discharge'!E$26:M$126,MATCH('Step 6 Quality Check'!C877,'Step 4 Stage Discharge'!E$26:E$126,1),1))</f>
        <v>4.3639431710317386E-3</v>
      </c>
      <c r="F877" s="218">
        <f t="shared" si="65"/>
        <v>0</v>
      </c>
      <c r="G877" s="218">
        <f t="shared" si="66"/>
        <v>0</v>
      </c>
    </row>
    <row r="878" spans="1:7">
      <c r="A878" s="217">
        <f t="shared" si="67"/>
        <v>4310</v>
      </c>
      <c r="B878" s="216">
        <f t="shared" si="68"/>
        <v>99.1</v>
      </c>
      <c r="C878" s="218">
        <f t="shared" si="69"/>
        <v>0</v>
      </c>
      <c r="D878" s="219">
        <f>INDEX('Step 4 Stage Discharge'!E$26:F$126,MATCH(C878,'Step 4 Stage Discharge'!E$26:E$126,1),2)+(INDEX('Step 4 Stage Discharge'!E$26:F$126,MATCH(C878,'Step 4 Stage Discharge'!E$26:E$126,1)+1,2)-INDEX('Step 4 Stage Discharge'!E$26:F$126,MATCH(C878,'Step 4 Stage Discharge'!E$26:E$126,1),2))*(C878-INDEX('Step 4 Stage Discharge'!E$26:F$126,MATCH(C878,'Step 4 Stage Discharge'!E$26:E$126,1),1))/(INDEX('Step 4 Stage Discharge'!E$26:F$126,MATCH(C878,'Step 4 Stage Discharge'!E$26:E$126,1)+1,1)-INDEX('Step 4 Stage Discharge'!E$26:F$126,MATCH(C878,'Step 4 Stage Discharge'!E$26:E$126,1),1))</f>
        <v>0</v>
      </c>
      <c r="E878" s="219">
        <f>INDEX('Step 4 Stage Discharge'!E$26:M$126,MATCH(C878,'Step 4 Stage Discharge'!E$26:E$126,1),9)+(INDEX('Step 4 Stage Discharge'!E$26:M$126,MATCH('Step 6 Quality Check'!C878,'Step 4 Stage Discharge'!E$26:E$126,1)+1,9)-INDEX('Step 4 Stage Discharge'!E$26:M$126,MATCH('Step 6 Quality Check'!C878,'Step 4 Stage Discharge'!E$26:E$126,1),9))*('Step 6 Quality Check'!C878-INDEX('Step 4 Stage Discharge'!E$26:M$126,MATCH('Step 6 Quality Check'!C878,'Step 4 Stage Discharge'!E$26:E$126,1),1))/(INDEX('Step 4 Stage Discharge'!E$26:M$126,MATCH('Step 6 Quality Check'!C878,'Step 4 Stage Discharge'!E$26:E$126,1)+1,1)-INDEX('Step 4 Stage Discharge'!E$26:M$126,MATCH('Step 6 Quality Check'!C878,'Step 4 Stage Discharge'!E$26:E$126,1),1))</f>
        <v>4.3639431710317386E-3</v>
      </c>
      <c r="F878" s="218">
        <f t="shared" si="65"/>
        <v>0</v>
      </c>
      <c r="G878" s="218">
        <f t="shared" si="66"/>
        <v>0</v>
      </c>
    </row>
    <row r="879" spans="1:7">
      <c r="A879" s="217">
        <f t="shared" si="67"/>
        <v>4315</v>
      </c>
      <c r="B879" s="216">
        <f t="shared" si="68"/>
        <v>99.1</v>
      </c>
      <c r="C879" s="218">
        <f t="shared" si="69"/>
        <v>0</v>
      </c>
      <c r="D879" s="219">
        <f>INDEX('Step 4 Stage Discharge'!E$26:F$126,MATCH(C879,'Step 4 Stage Discharge'!E$26:E$126,1),2)+(INDEX('Step 4 Stage Discharge'!E$26:F$126,MATCH(C879,'Step 4 Stage Discharge'!E$26:E$126,1)+1,2)-INDEX('Step 4 Stage Discharge'!E$26:F$126,MATCH(C879,'Step 4 Stage Discharge'!E$26:E$126,1),2))*(C879-INDEX('Step 4 Stage Discharge'!E$26:F$126,MATCH(C879,'Step 4 Stage Discharge'!E$26:E$126,1),1))/(INDEX('Step 4 Stage Discharge'!E$26:F$126,MATCH(C879,'Step 4 Stage Discharge'!E$26:E$126,1)+1,1)-INDEX('Step 4 Stage Discharge'!E$26:F$126,MATCH(C879,'Step 4 Stage Discharge'!E$26:E$126,1),1))</f>
        <v>0</v>
      </c>
      <c r="E879" s="219">
        <f>INDEX('Step 4 Stage Discharge'!E$26:M$126,MATCH(C879,'Step 4 Stage Discharge'!E$26:E$126,1),9)+(INDEX('Step 4 Stage Discharge'!E$26:M$126,MATCH('Step 6 Quality Check'!C879,'Step 4 Stage Discharge'!E$26:E$126,1)+1,9)-INDEX('Step 4 Stage Discharge'!E$26:M$126,MATCH('Step 6 Quality Check'!C879,'Step 4 Stage Discharge'!E$26:E$126,1),9))*('Step 6 Quality Check'!C879-INDEX('Step 4 Stage Discharge'!E$26:M$126,MATCH('Step 6 Quality Check'!C879,'Step 4 Stage Discharge'!E$26:E$126,1),1))/(INDEX('Step 4 Stage Discharge'!E$26:M$126,MATCH('Step 6 Quality Check'!C879,'Step 4 Stage Discharge'!E$26:E$126,1)+1,1)-INDEX('Step 4 Stage Discharge'!E$26:M$126,MATCH('Step 6 Quality Check'!C879,'Step 4 Stage Discharge'!E$26:E$126,1),1))</f>
        <v>4.3639431710317386E-3</v>
      </c>
      <c r="F879" s="218">
        <f t="shared" si="65"/>
        <v>0</v>
      </c>
      <c r="G879" s="218">
        <f t="shared" si="66"/>
        <v>0</v>
      </c>
    </row>
    <row r="880" spans="1:7">
      <c r="A880" s="217">
        <f t="shared" si="67"/>
        <v>4320</v>
      </c>
      <c r="B880" s="216">
        <f t="shared" si="68"/>
        <v>99.1</v>
      </c>
      <c r="C880" s="218">
        <f t="shared" si="69"/>
        <v>0</v>
      </c>
      <c r="D880" s="219">
        <f>INDEX('Step 4 Stage Discharge'!E$26:F$126,MATCH(C880,'Step 4 Stage Discharge'!E$26:E$126,1),2)+(INDEX('Step 4 Stage Discharge'!E$26:F$126,MATCH(C880,'Step 4 Stage Discharge'!E$26:E$126,1)+1,2)-INDEX('Step 4 Stage Discharge'!E$26:F$126,MATCH(C880,'Step 4 Stage Discharge'!E$26:E$126,1),2))*(C880-INDEX('Step 4 Stage Discharge'!E$26:F$126,MATCH(C880,'Step 4 Stage Discharge'!E$26:E$126,1),1))/(INDEX('Step 4 Stage Discharge'!E$26:F$126,MATCH(C880,'Step 4 Stage Discharge'!E$26:E$126,1)+1,1)-INDEX('Step 4 Stage Discharge'!E$26:F$126,MATCH(C880,'Step 4 Stage Discharge'!E$26:E$126,1),1))</f>
        <v>0</v>
      </c>
      <c r="E880" s="219">
        <f>INDEX('Step 4 Stage Discharge'!E$26:M$126,MATCH(C880,'Step 4 Stage Discharge'!E$26:E$126,1),9)+(INDEX('Step 4 Stage Discharge'!E$26:M$126,MATCH('Step 6 Quality Check'!C880,'Step 4 Stage Discharge'!E$26:E$126,1)+1,9)-INDEX('Step 4 Stage Discharge'!E$26:M$126,MATCH('Step 6 Quality Check'!C880,'Step 4 Stage Discharge'!E$26:E$126,1),9))*('Step 6 Quality Check'!C880-INDEX('Step 4 Stage Discharge'!E$26:M$126,MATCH('Step 6 Quality Check'!C880,'Step 4 Stage Discharge'!E$26:E$126,1),1))/(INDEX('Step 4 Stage Discharge'!E$26:M$126,MATCH('Step 6 Quality Check'!C880,'Step 4 Stage Discharge'!E$26:E$126,1)+1,1)-INDEX('Step 4 Stage Discharge'!E$26:M$126,MATCH('Step 6 Quality Check'!C880,'Step 4 Stage Discharge'!E$26:E$126,1),1))</f>
        <v>4.3639431710317386E-3</v>
      </c>
      <c r="F880" s="218">
        <f t="shared" si="65"/>
        <v>0</v>
      </c>
      <c r="G880" s="218">
        <f t="shared" si="66"/>
        <v>0</v>
      </c>
    </row>
    <row r="881" spans="1:7">
      <c r="A881" s="217">
        <f t="shared" si="67"/>
        <v>4325</v>
      </c>
      <c r="B881" s="216">
        <f t="shared" si="68"/>
        <v>99.1</v>
      </c>
      <c r="C881" s="218">
        <f t="shared" si="69"/>
        <v>0</v>
      </c>
      <c r="D881" s="219">
        <f>INDEX('Step 4 Stage Discharge'!E$26:F$126,MATCH(C881,'Step 4 Stage Discharge'!E$26:E$126,1),2)+(INDEX('Step 4 Stage Discharge'!E$26:F$126,MATCH(C881,'Step 4 Stage Discharge'!E$26:E$126,1)+1,2)-INDEX('Step 4 Stage Discharge'!E$26:F$126,MATCH(C881,'Step 4 Stage Discharge'!E$26:E$126,1),2))*(C881-INDEX('Step 4 Stage Discharge'!E$26:F$126,MATCH(C881,'Step 4 Stage Discharge'!E$26:E$126,1),1))/(INDEX('Step 4 Stage Discharge'!E$26:F$126,MATCH(C881,'Step 4 Stage Discharge'!E$26:E$126,1)+1,1)-INDEX('Step 4 Stage Discharge'!E$26:F$126,MATCH(C881,'Step 4 Stage Discharge'!E$26:E$126,1),1))</f>
        <v>0</v>
      </c>
      <c r="E881" s="219">
        <f>INDEX('Step 4 Stage Discharge'!E$26:M$126,MATCH(C881,'Step 4 Stage Discharge'!E$26:E$126,1),9)+(INDEX('Step 4 Stage Discharge'!E$26:M$126,MATCH('Step 6 Quality Check'!C881,'Step 4 Stage Discharge'!E$26:E$126,1)+1,9)-INDEX('Step 4 Stage Discharge'!E$26:M$126,MATCH('Step 6 Quality Check'!C881,'Step 4 Stage Discharge'!E$26:E$126,1),9))*('Step 6 Quality Check'!C881-INDEX('Step 4 Stage Discharge'!E$26:M$126,MATCH('Step 6 Quality Check'!C881,'Step 4 Stage Discharge'!E$26:E$126,1),1))/(INDEX('Step 4 Stage Discharge'!E$26:M$126,MATCH('Step 6 Quality Check'!C881,'Step 4 Stage Discharge'!E$26:E$126,1)+1,1)-INDEX('Step 4 Stage Discharge'!E$26:M$126,MATCH('Step 6 Quality Check'!C881,'Step 4 Stage Discharge'!E$26:E$126,1),1))</f>
        <v>4.3639431710317386E-3</v>
      </c>
      <c r="F881" s="218">
        <f t="shared" si="65"/>
        <v>0</v>
      </c>
      <c r="G881" s="218">
        <f t="shared" si="66"/>
        <v>0</v>
      </c>
    </row>
    <row r="882" spans="1:7">
      <c r="A882" s="217">
        <f t="shared" si="67"/>
        <v>4330</v>
      </c>
      <c r="B882" s="216">
        <f t="shared" si="68"/>
        <v>99.1</v>
      </c>
      <c r="C882" s="218">
        <f t="shared" si="69"/>
        <v>0</v>
      </c>
      <c r="D882" s="219">
        <f>INDEX('Step 4 Stage Discharge'!E$26:F$126,MATCH(C882,'Step 4 Stage Discharge'!E$26:E$126,1),2)+(INDEX('Step 4 Stage Discharge'!E$26:F$126,MATCH(C882,'Step 4 Stage Discharge'!E$26:E$126,1)+1,2)-INDEX('Step 4 Stage Discharge'!E$26:F$126,MATCH(C882,'Step 4 Stage Discharge'!E$26:E$126,1),2))*(C882-INDEX('Step 4 Stage Discharge'!E$26:F$126,MATCH(C882,'Step 4 Stage Discharge'!E$26:E$126,1),1))/(INDEX('Step 4 Stage Discharge'!E$26:F$126,MATCH(C882,'Step 4 Stage Discharge'!E$26:E$126,1)+1,1)-INDEX('Step 4 Stage Discharge'!E$26:F$126,MATCH(C882,'Step 4 Stage Discharge'!E$26:E$126,1),1))</f>
        <v>0</v>
      </c>
      <c r="E882" s="219">
        <f>INDEX('Step 4 Stage Discharge'!E$26:M$126,MATCH(C882,'Step 4 Stage Discharge'!E$26:E$126,1),9)+(INDEX('Step 4 Stage Discharge'!E$26:M$126,MATCH('Step 6 Quality Check'!C882,'Step 4 Stage Discharge'!E$26:E$126,1)+1,9)-INDEX('Step 4 Stage Discharge'!E$26:M$126,MATCH('Step 6 Quality Check'!C882,'Step 4 Stage Discharge'!E$26:E$126,1),9))*('Step 6 Quality Check'!C882-INDEX('Step 4 Stage Discharge'!E$26:M$126,MATCH('Step 6 Quality Check'!C882,'Step 4 Stage Discharge'!E$26:E$126,1),1))/(INDEX('Step 4 Stage Discharge'!E$26:M$126,MATCH('Step 6 Quality Check'!C882,'Step 4 Stage Discharge'!E$26:E$126,1)+1,1)-INDEX('Step 4 Stage Discharge'!E$26:M$126,MATCH('Step 6 Quality Check'!C882,'Step 4 Stage Discharge'!E$26:E$126,1),1))</f>
        <v>4.3639431710317386E-3</v>
      </c>
      <c r="F882" s="218">
        <f t="shared" si="65"/>
        <v>0</v>
      </c>
      <c r="G882" s="218">
        <f t="shared" si="66"/>
        <v>0</v>
      </c>
    </row>
    <row r="883" spans="1:7">
      <c r="A883" s="217">
        <f t="shared" si="67"/>
        <v>4335</v>
      </c>
      <c r="B883" s="216">
        <f t="shared" si="68"/>
        <v>99.1</v>
      </c>
      <c r="C883" s="218">
        <f t="shared" si="69"/>
        <v>0</v>
      </c>
      <c r="D883" s="219">
        <f>INDEX('Step 4 Stage Discharge'!E$26:F$126,MATCH(C883,'Step 4 Stage Discharge'!E$26:E$126,1),2)+(INDEX('Step 4 Stage Discharge'!E$26:F$126,MATCH(C883,'Step 4 Stage Discharge'!E$26:E$126,1)+1,2)-INDEX('Step 4 Stage Discharge'!E$26:F$126,MATCH(C883,'Step 4 Stage Discharge'!E$26:E$126,1),2))*(C883-INDEX('Step 4 Stage Discharge'!E$26:F$126,MATCH(C883,'Step 4 Stage Discharge'!E$26:E$126,1),1))/(INDEX('Step 4 Stage Discharge'!E$26:F$126,MATCH(C883,'Step 4 Stage Discharge'!E$26:E$126,1)+1,1)-INDEX('Step 4 Stage Discharge'!E$26:F$126,MATCH(C883,'Step 4 Stage Discharge'!E$26:E$126,1),1))</f>
        <v>0</v>
      </c>
      <c r="E883" s="219">
        <f>INDEX('Step 4 Stage Discharge'!E$26:M$126,MATCH(C883,'Step 4 Stage Discharge'!E$26:E$126,1),9)+(INDEX('Step 4 Stage Discharge'!E$26:M$126,MATCH('Step 6 Quality Check'!C883,'Step 4 Stage Discharge'!E$26:E$126,1)+1,9)-INDEX('Step 4 Stage Discharge'!E$26:M$126,MATCH('Step 6 Quality Check'!C883,'Step 4 Stage Discharge'!E$26:E$126,1),9))*('Step 6 Quality Check'!C883-INDEX('Step 4 Stage Discharge'!E$26:M$126,MATCH('Step 6 Quality Check'!C883,'Step 4 Stage Discharge'!E$26:E$126,1),1))/(INDEX('Step 4 Stage Discharge'!E$26:M$126,MATCH('Step 6 Quality Check'!C883,'Step 4 Stage Discharge'!E$26:E$126,1)+1,1)-INDEX('Step 4 Stage Discharge'!E$26:M$126,MATCH('Step 6 Quality Check'!C883,'Step 4 Stage Discharge'!E$26:E$126,1),1))</f>
        <v>4.3639431710317386E-3</v>
      </c>
      <c r="F883" s="218">
        <f t="shared" si="65"/>
        <v>0</v>
      </c>
      <c r="G883" s="218">
        <f t="shared" si="66"/>
        <v>0</v>
      </c>
    </row>
    <row r="884" spans="1:7">
      <c r="A884" s="217">
        <f t="shared" si="67"/>
        <v>4340</v>
      </c>
      <c r="B884" s="216">
        <f t="shared" si="68"/>
        <v>99.1</v>
      </c>
      <c r="C884" s="218">
        <f t="shared" si="69"/>
        <v>0</v>
      </c>
      <c r="D884" s="219">
        <f>INDEX('Step 4 Stage Discharge'!E$26:F$126,MATCH(C884,'Step 4 Stage Discharge'!E$26:E$126,1),2)+(INDEX('Step 4 Stage Discharge'!E$26:F$126,MATCH(C884,'Step 4 Stage Discharge'!E$26:E$126,1)+1,2)-INDEX('Step 4 Stage Discharge'!E$26:F$126,MATCH(C884,'Step 4 Stage Discharge'!E$26:E$126,1),2))*(C884-INDEX('Step 4 Stage Discharge'!E$26:F$126,MATCH(C884,'Step 4 Stage Discharge'!E$26:E$126,1),1))/(INDEX('Step 4 Stage Discharge'!E$26:F$126,MATCH(C884,'Step 4 Stage Discharge'!E$26:E$126,1)+1,1)-INDEX('Step 4 Stage Discharge'!E$26:F$126,MATCH(C884,'Step 4 Stage Discharge'!E$26:E$126,1),1))</f>
        <v>0</v>
      </c>
      <c r="E884" s="219">
        <f>INDEX('Step 4 Stage Discharge'!E$26:M$126,MATCH(C884,'Step 4 Stage Discharge'!E$26:E$126,1),9)+(INDEX('Step 4 Stage Discharge'!E$26:M$126,MATCH('Step 6 Quality Check'!C884,'Step 4 Stage Discharge'!E$26:E$126,1)+1,9)-INDEX('Step 4 Stage Discharge'!E$26:M$126,MATCH('Step 6 Quality Check'!C884,'Step 4 Stage Discharge'!E$26:E$126,1),9))*('Step 6 Quality Check'!C884-INDEX('Step 4 Stage Discharge'!E$26:M$126,MATCH('Step 6 Quality Check'!C884,'Step 4 Stage Discharge'!E$26:E$126,1),1))/(INDEX('Step 4 Stage Discharge'!E$26:M$126,MATCH('Step 6 Quality Check'!C884,'Step 4 Stage Discharge'!E$26:E$126,1)+1,1)-INDEX('Step 4 Stage Discharge'!E$26:M$126,MATCH('Step 6 Quality Check'!C884,'Step 4 Stage Discharge'!E$26:E$126,1),1))</f>
        <v>4.3639431710317386E-3</v>
      </c>
      <c r="F884" s="218">
        <f t="shared" si="65"/>
        <v>0</v>
      </c>
      <c r="G884" s="218">
        <f t="shared" si="66"/>
        <v>0</v>
      </c>
    </row>
    <row r="885" spans="1:7">
      <c r="A885" s="217">
        <f t="shared" si="67"/>
        <v>4345</v>
      </c>
      <c r="B885" s="216">
        <f t="shared" si="68"/>
        <v>99.1</v>
      </c>
      <c r="C885" s="218">
        <f t="shared" si="69"/>
        <v>0</v>
      </c>
      <c r="D885" s="219">
        <f>INDEX('Step 4 Stage Discharge'!E$26:F$126,MATCH(C885,'Step 4 Stage Discharge'!E$26:E$126,1),2)+(INDEX('Step 4 Stage Discharge'!E$26:F$126,MATCH(C885,'Step 4 Stage Discharge'!E$26:E$126,1)+1,2)-INDEX('Step 4 Stage Discharge'!E$26:F$126,MATCH(C885,'Step 4 Stage Discharge'!E$26:E$126,1),2))*(C885-INDEX('Step 4 Stage Discharge'!E$26:F$126,MATCH(C885,'Step 4 Stage Discharge'!E$26:E$126,1),1))/(INDEX('Step 4 Stage Discharge'!E$26:F$126,MATCH(C885,'Step 4 Stage Discharge'!E$26:E$126,1)+1,1)-INDEX('Step 4 Stage Discharge'!E$26:F$126,MATCH(C885,'Step 4 Stage Discharge'!E$26:E$126,1),1))</f>
        <v>0</v>
      </c>
      <c r="E885" s="219">
        <f>INDEX('Step 4 Stage Discharge'!E$26:M$126,MATCH(C885,'Step 4 Stage Discharge'!E$26:E$126,1),9)+(INDEX('Step 4 Stage Discharge'!E$26:M$126,MATCH('Step 6 Quality Check'!C885,'Step 4 Stage Discharge'!E$26:E$126,1)+1,9)-INDEX('Step 4 Stage Discharge'!E$26:M$126,MATCH('Step 6 Quality Check'!C885,'Step 4 Stage Discharge'!E$26:E$126,1),9))*('Step 6 Quality Check'!C885-INDEX('Step 4 Stage Discharge'!E$26:M$126,MATCH('Step 6 Quality Check'!C885,'Step 4 Stage Discharge'!E$26:E$126,1),1))/(INDEX('Step 4 Stage Discharge'!E$26:M$126,MATCH('Step 6 Quality Check'!C885,'Step 4 Stage Discharge'!E$26:E$126,1)+1,1)-INDEX('Step 4 Stage Discharge'!E$26:M$126,MATCH('Step 6 Quality Check'!C885,'Step 4 Stage Discharge'!E$26:E$126,1),1))</f>
        <v>4.3639431710317386E-3</v>
      </c>
      <c r="F885" s="218">
        <f t="shared" si="65"/>
        <v>0</v>
      </c>
      <c r="G885" s="218">
        <f t="shared" si="66"/>
        <v>0</v>
      </c>
    </row>
    <row r="886" spans="1:7">
      <c r="A886" s="217">
        <f t="shared" si="67"/>
        <v>4350</v>
      </c>
      <c r="B886" s="216">
        <f t="shared" si="68"/>
        <v>99.1</v>
      </c>
      <c r="C886" s="218">
        <f t="shared" si="69"/>
        <v>0</v>
      </c>
      <c r="D886" s="219">
        <f>INDEX('Step 4 Stage Discharge'!E$26:F$126,MATCH(C886,'Step 4 Stage Discharge'!E$26:E$126,1),2)+(INDEX('Step 4 Stage Discharge'!E$26:F$126,MATCH(C886,'Step 4 Stage Discharge'!E$26:E$126,1)+1,2)-INDEX('Step 4 Stage Discharge'!E$26:F$126,MATCH(C886,'Step 4 Stage Discharge'!E$26:E$126,1),2))*(C886-INDEX('Step 4 Stage Discharge'!E$26:F$126,MATCH(C886,'Step 4 Stage Discharge'!E$26:E$126,1),1))/(INDEX('Step 4 Stage Discharge'!E$26:F$126,MATCH(C886,'Step 4 Stage Discharge'!E$26:E$126,1)+1,1)-INDEX('Step 4 Stage Discharge'!E$26:F$126,MATCH(C886,'Step 4 Stage Discharge'!E$26:E$126,1),1))</f>
        <v>0</v>
      </c>
      <c r="E886" s="219">
        <f>INDEX('Step 4 Stage Discharge'!E$26:M$126,MATCH(C886,'Step 4 Stage Discharge'!E$26:E$126,1),9)+(INDEX('Step 4 Stage Discharge'!E$26:M$126,MATCH('Step 6 Quality Check'!C886,'Step 4 Stage Discharge'!E$26:E$126,1)+1,9)-INDEX('Step 4 Stage Discharge'!E$26:M$126,MATCH('Step 6 Quality Check'!C886,'Step 4 Stage Discharge'!E$26:E$126,1),9))*('Step 6 Quality Check'!C886-INDEX('Step 4 Stage Discharge'!E$26:M$126,MATCH('Step 6 Quality Check'!C886,'Step 4 Stage Discharge'!E$26:E$126,1),1))/(INDEX('Step 4 Stage Discharge'!E$26:M$126,MATCH('Step 6 Quality Check'!C886,'Step 4 Stage Discharge'!E$26:E$126,1)+1,1)-INDEX('Step 4 Stage Discharge'!E$26:M$126,MATCH('Step 6 Quality Check'!C886,'Step 4 Stage Discharge'!E$26:E$126,1),1))</f>
        <v>4.3639431710317386E-3</v>
      </c>
      <c r="F886" s="218">
        <f t="shared" si="65"/>
        <v>0</v>
      </c>
      <c r="G886" s="218">
        <f t="shared" si="66"/>
        <v>0</v>
      </c>
    </row>
    <row r="887" spans="1:7">
      <c r="A887" s="217">
        <f t="shared" si="67"/>
        <v>4355</v>
      </c>
      <c r="B887" s="216">
        <f t="shared" si="68"/>
        <v>99.1</v>
      </c>
      <c r="C887" s="218">
        <f t="shared" si="69"/>
        <v>0</v>
      </c>
      <c r="D887" s="219">
        <f>INDEX('Step 4 Stage Discharge'!E$26:F$126,MATCH(C887,'Step 4 Stage Discharge'!E$26:E$126,1),2)+(INDEX('Step 4 Stage Discharge'!E$26:F$126,MATCH(C887,'Step 4 Stage Discharge'!E$26:E$126,1)+1,2)-INDEX('Step 4 Stage Discharge'!E$26:F$126,MATCH(C887,'Step 4 Stage Discharge'!E$26:E$126,1),2))*(C887-INDEX('Step 4 Stage Discharge'!E$26:F$126,MATCH(C887,'Step 4 Stage Discharge'!E$26:E$126,1),1))/(INDEX('Step 4 Stage Discharge'!E$26:F$126,MATCH(C887,'Step 4 Stage Discharge'!E$26:E$126,1)+1,1)-INDEX('Step 4 Stage Discharge'!E$26:F$126,MATCH(C887,'Step 4 Stage Discharge'!E$26:E$126,1),1))</f>
        <v>0</v>
      </c>
      <c r="E887" s="219">
        <f>INDEX('Step 4 Stage Discharge'!E$26:M$126,MATCH(C887,'Step 4 Stage Discharge'!E$26:E$126,1),9)+(INDEX('Step 4 Stage Discharge'!E$26:M$126,MATCH('Step 6 Quality Check'!C887,'Step 4 Stage Discharge'!E$26:E$126,1)+1,9)-INDEX('Step 4 Stage Discharge'!E$26:M$126,MATCH('Step 6 Quality Check'!C887,'Step 4 Stage Discharge'!E$26:E$126,1),9))*('Step 6 Quality Check'!C887-INDEX('Step 4 Stage Discharge'!E$26:M$126,MATCH('Step 6 Quality Check'!C887,'Step 4 Stage Discharge'!E$26:E$126,1),1))/(INDEX('Step 4 Stage Discharge'!E$26:M$126,MATCH('Step 6 Quality Check'!C887,'Step 4 Stage Discharge'!E$26:E$126,1)+1,1)-INDEX('Step 4 Stage Discharge'!E$26:M$126,MATCH('Step 6 Quality Check'!C887,'Step 4 Stage Discharge'!E$26:E$126,1),1))</f>
        <v>4.3639431710317386E-3</v>
      </c>
      <c r="F887" s="218">
        <f t="shared" si="65"/>
        <v>0</v>
      </c>
      <c r="G887" s="218">
        <f t="shared" si="66"/>
        <v>0</v>
      </c>
    </row>
    <row r="888" spans="1:7">
      <c r="A888" s="217">
        <f t="shared" si="67"/>
        <v>4360</v>
      </c>
      <c r="B888" s="216">
        <f t="shared" si="68"/>
        <v>99.1</v>
      </c>
      <c r="C888" s="218">
        <f t="shared" si="69"/>
        <v>0</v>
      </c>
      <c r="D888" s="219">
        <f>INDEX('Step 4 Stage Discharge'!E$26:F$126,MATCH(C888,'Step 4 Stage Discharge'!E$26:E$126,1),2)+(INDEX('Step 4 Stage Discharge'!E$26:F$126,MATCH(C888,'Step 4 Stage Discharge'!E$26:E$126,1)+1,2)-INDEX('Step 4 Stage Discharge'!E$26:F$126,MATCH(C888,'Step 4 Stage Discharge'!E$26:E$126,1),2))*(C888-INDEX('Step 4 Stage Discharge'!E$26:F$126,MATCH(C888,'Step 4 Stage Discharge'!E$26:E$126,1),1))/(INDEX('Step 4 Stage Discharge'!E$26:F$126,MATCH(C888,'Step 4 Stage Discharge'!E$26:E$126,1)+1,1)-INDEX('Step 4 Stage Discharge'!E$26:F$126,MATCH(C888,'Step 4 Stage Discharge'!E$26:E$126,1),1))</f>
        <v>0</v>
      </c>
      <c r="E888" s="219">
        <f>INDEX('Step 4 Stage Discharge'!E$26:M$126,MATCH(C888,'Step 4 Stage Discharge'!E$26:E$126,1),9)+(INDEX('Step 4 Stage Discharge'!E$26:M$126,MATCH('Step 6 Quality Check'!C888,'Step 4 Stage Discharge'!E$26:E$126,1)+1,9)-INDEX('Step 4 Stage Discharge'!E$26:M$126,MATCH('Step 6 Quality Check'!C888,'Step 4 Stage Discharge'!E$26:E$126,1),9))*('Step 6 Quality Check'!C888-INDEX('Step 4 Stage Discharge'!E$26:M$126,MATCH('Step 6 Quality Check'!C888,'Step 4 Stage Discharge'!E$26:E$126,1),1))/(INDEX('Step 4 Stage Discharge'!E$26:M$126,MATCH('Step 6 Quality Check'!C888,'Step 4 Stage Discharge'!E$26:E$126,1)+1,1)-INDEX('Step 4 Stage Discharge'!E$26:M$126,MATCH('Step 6 Quality Check'!C888,'Step 4 Stage Discharge'!E$26:E$126,1),1))</f>
        <v>4.3639431710317386E-3</v>
      </c>
      <c r="F888" s="218">
        <f t="shared" si="65"/>
        <v>0</v>
      </c>
      <c r="G888" s="218">
        <f t="shared" si="66"/>
        <v>0</v>
      </c>
    </row>
    <row r="889" spans="1:7">
      <c r="A889" s="217">
        <f t="shared" si="67"/>
        <v>4365</v>
      </c>
      <c r="B889" s="216">
        <f t="shared" si="68"/>
        <v>99.1</v>
      </c>
      <c r="C889" s="218">
        <f t="shared" si="69"/>
        <v>0</v>
      </c>
      <c r="D889" s="219">
        <f>INDEX('Step 4 Stage Discharge'!E$26:F$126,MATCH(C889,'Step 4 Stage Discharge'!E$26:E$126,1),2)+(INDEX('Step 4 Stage Discharge'!E$26:F$126,MATCH(C889,'Step 4 Stage Discharge'!E$26:E$126,1)+1,2)-INDEX('Step 4 Stage Discharge'!E$26:F$126,MATCH(C889,'Step 4 Stage Discharge'!E$26:E$126,1),2))*(C889-INDEX('Step 4 Stage Discharge'!E$26:F$126,MATCH(C889,'Step 4 Stage Discharge'!E$26:E$126,1),1))/(INDEX('Step 4 Stage Discharge'!E$26:F$126,MATCH(C889,'Step 4 Stage Discharge'!E$26:E$126,1)+1,1)-INDEX('Step 4 Stage Discharge'!E$26:F$126,MATCH(C889,'Step 4 Stage Discharge'!E$26:E$126,1),1))</f>
        <v>0</v>
      </c>
      <c r="E889" s="219">
        <f>INDEX('Step 4 Stage Discharge'!E$26:M$126,MATCH(C889,'Step 4 Stage Discharge'!E$26:E$126,1),9)+(INDEX('Step 4 Stage Discharge'!E$26:M$126,MATCH('Step 6 Quality Check'!C889,'Step 4 Stage Discharge'!E$26:E$126,1)+1,9)-INDEX('Step 4 Stage Discharge'!E$26:M$126,MATCH('Step 6 Quality Check'!C889,'Step 4 Stage Discharge'!E$26:E$126,1),9))*('Step 6 Quality Check'!C889-INDEX('Step 4 Stage Discharge'!E$26:M$126,MATCH('Step 6 Quality Check'!C889,'Step 4 Stage Discharge'!E$26:E$126,1),1))/(INDEX('Step 4 Stage Discharge'!E$26:M$126,MATCH('Step 6 Quality Check'!C889,'Step 4 Stage Discharge'!E$26:E$126,1)+1,1)-INDEX('Step 4 Stage Discharge'!E$26:M$126,MATCH('Step 6 Quality Check'!C889,'Step 4 Stage Discharge'!E$26:E$126,1),1))</f>
        <v>4.3639431710317386E-3</v>
      </c>
      <c r="F889" s="218">
        <f t="shared" si="65"/>
        <v>0</v>
      </c>
      <c r="G889" s="218">
        <f t="shared" si="66"/>
        <v>0</v>
      </c>
    </row>
    <row r="890" spans="1:7">
      <c r="A890" s="217">
        <f t="shared" si="67"/>
        <v>4370</v>
      </c>
      <c r="B890" s="216">
        <f t="shared" si="68"/>
        <v>99.1</v>
      </c>
      <c r="C890" s="218">
        <f t="shared" si="69"/>
        <v>0</v>
      </c>
      <c r="D890" s="219">
        <f>INDEX('Step 4 Stage Discharge'!E$26:F$126,MATCH(C890,'Step 4 Stage Discharge'!E$26:E$126,1),2)+(INDEX('Step 4 Stage Discharge'!E$26:F$126,MATCH(C890,'Step 4 Stage Discharge'!E$26:E$126,1)+1,2)-INDEX('Step 4 Stage Discharge'!E$26:F$126,MATCH(C890,'Step 4 Stage Discharge'!E$26:E$126,1),2))*(C890-INDEX('Step 4 Stage Discharge'!E$26:F$126,MATCH(C890,'Step 4 Stage Discharge'!E$26:E$126,1),1))/(INDEX('Step 4 Stage Discharge'!E$26:F$126,MATCH(C890,'Step 4 Stage Discharge'!E$26:E$126,1)+1,1)-INDEX('Step 4 Stage Discharge'!E$26:F$126,MATCH(C890,'Step 4 Stage Discharge'!E$26:E$126,1),1))</f>
        <v>0</v>
      </c>
      <c r="E890" s="219">
        <f>INDEX('Step 4 Stage Discharge'!E$26:M$126,MATCH(C890,'Step 4 Stage Discharge'!E$26:E$126,1),9)+(INDEX('Step 4 Stage Discharge'!E$26:M$126,MATCH('Step 6 Quality Check'!C890,'Step 4 Stage Discharge'!E$26:E$126,1)+1,9)-INDEX('Step 4 Stage Discharge'!E$26:M$126,MATCH('Step 6 Quality Check'!C890,'Step 4 Stage Discharge'!E$26:E$126,1),9))*('Step 6 Quality Check'!C890-INDEX('Step 4 Stage Discharge'!E$26:M$126,MATCH('Step 6 Quality Check'!C890,'Step 4 Stage Discharge'!E$26:E$126,1),1))/(INDEX('Step 4 Stage Discharge'!E$26:M$126,MATCH('Step 6 Quality Check'!C890,'Step 4 Stage Discharge'!E$26:E$126,1)+1,1)-INDEX('Step 4 Stage Discharge'!E$26:M$126,MATCH('Step 6 Quality Check'!C890,'Step 4 Stage Discharge'!E$26:E$126,1),1))</f>
        <v>4.3639431710317386E-3</v>
      </c>
      <c r="F890" s="218">
        <f t="shared" si="65"/>
        <v>0</v>
      </c>
      <c r="G890" s="218">
        <f t="shared" si="66"/>
        <v>0</v>
      </c>
    </row>
    <row r="891" spans="1:7">
      <c r="A891" s="217">
        <f t="shared" si="67"/>
        <v>4375</v>
      </c>
      <c r="B891" s="216">
        <f t="shared" si="68"/>
        <v>99.1</v>
      </c>
      <c r="C891" s="218">
        <f t="shared" si="69"/>
        <v>0</v>
      </c>
      <c r="D891" s="219">
        <f>INDEX('Step 4 Stage Discharge'!E$26:F$126,MATCH(C891,'Step 4 Stage Discharge'!E$26:E$126,1),2)+(INDEX('Step 4 Stage Discharge'!E$26:F$126,MATCH(C891,'Step 4 Stage Discharge'!E$26:E$126,1)+1,2)-INDEX('Step 4 Stage Discharge'!E$26:F$126,MATCH(C891,'Step 4 Stage Discharge'!E$26:E$126,1),2))*(C891-INDEX('Step 4 Stage Discharge'!E$26:F$126,MATCH(C891,'Step 4 Stage Discharge'!E$26:E$126,1),1))/(INDEX('Step 4 Stage Discharge'!E$26:F$126,MATCH(C891,'Step 4 Stage Discharge'!E$26:E$126,1)+1,1)-INDEX('Step 4 Stage Discharge'!E$26:F$126,MATCH(C891,'Step 4 Stage Discharge'!E$26:E$126,1),1))</f>
        <v>0</v>
      </c>
      <c r="E891" s="219">
        <f>INDEX('Step 4 Stage Discharge'!E$26:M$126,MATCH(C891,'Step 4 Stage Discharge'!E$26:E$126,1),9)+(INDEX('Step 4 Stage Discharge'!E$26:M$126,MATCH('Step 6 Quality Check'!C891,'Step 4 Stage Discharge'!E$26:E$126,1)+1,9)-INDEX('Step 4 Stage Discharge'!E$26:M$126,MATCH('Step 6 Quality Check'!C891,'Step 4 Stage Discharge'!E$26:E$126,1),9))*('Step 6 Quality Check'!C891-INDEX('Step 4 Stage Discharge'!E$26:M$126,MATCH('Step 6 Quality Check'!C891,'Step 4 Stage Discharge'!E$26:E$126,1),1))/(INDEX('Step 4 Stage Discharge'!E$26:M$126,MATCH('Step 6 Quality Check'!C891,'Step 4 Stage Discharge'!E$26:E$126,1)+1,1)-INDEX('Step 4 Stage Discharge'!E$26:M$126,MATCH('Step 6 Quality Check'!C891,'Step 4 Stage Discharge'!E$26:E$126,1),1))</f>
        <v>4.3639431710317386E-3</v>
      </c>
      <c r="F891" s="218">
        <f t="shared" si="65"/>
        <v>0</v>
      </c>
      <c r="G891" s="218">
        <f t="shared" si="66"/>
        <v>0</v>
      </c>
    </row>
    <row r="892" spans="1:7">
      <c r="A892" s="217">
        <f t="shared" si="67"/>
        <v>4380</v>
      </c>
      <c r="B892" s="216">
        <f t="shared" si="68"/>
        <v>99.1</v>
      </c>
      <c r="C892" s="218">
        <f t="shared" si="69"/>
        <v>0</v>
      </c>
      <c r="D892" s="219">
        <f>INDEX('Step 4 Stage Discharge'!E$26:F$126,MATCH(C892,'Step 4 Stage Discharge'!E$26:E$126,1),2)+(INDEX('Step 4 Stage Discharge'!E$26:F$126,MATCH(C892,'Step 4 Stage Discharge'!E$26:E$126,1)+1,2)-INDEX('Step 4 Stage Discharge'!E$26:F$126,MATCH(C892,'Step 4 Stage Discharge'!E$26:E$126,1),2))*(C892-INDEX('Step 4 Stage Discharge'!E$26:F$126,MATCH(C892,'Step 4 Stage Discharge'!E$26:E$126,1),1))/(INDEX('Step 4 Stage Discharge'!E$26:F$126,MATCH(C892,'Step 4 Stage Discharge'!E$26:E$126,1)+1,1)-INDEX('Step 4 Stage Discharge'!E$26:F$126,MATCH(C892,'Step 4 Stage Discharge'!E$26:E$126,1),1))</f>
        <v>0</v>
      </c>
      <c r="E892" s="219">
        <f>INDEX('Step 4 Stage Discharge'!E$26:M$126,MATCH(C892,'Step 4 Stage Discharge'!E$26:E$126,1),9)+(INDEX('Step 4 Stage Discharge'!E$26:M$126,MATCH('Step 6 Quality Check'!C892,'Step 4 Stage Discharge'!E$26:E$126,1)+1,9)-INDEX('Step 4 Stage Discharge'!E$26:M$126,MATCH('Step 6 Quality Check'!C892,'Step 4 Stage Discharge'!E$26:E$126,1),9))*('Step 6 Quality Check'!C892-INDEX('Step 4 Stage Discharge'!E$26:M$126,MATCH('Step 6 Quality Check'!C892,'Step 4 Stage Discharge'!E$26:E$126,1),1))/(INDEX('Step 4 Stage Discharge'!E$26:M$126,MATCH('Step 6 Quality Check'!C892,'Step 4 Stage Discharge'!E$26:E$126,1)+1,1)-INDEX('Step 4 Stage Discharge'!E$26:M$126,MATCH('Step 6 Quality Check'!C892,'Step 4 Stage Discharge'!E$26:E$126,1),1))</f>
        <v>4.3639431710317386E-3</v>
      </c>
      <c r="F892" s="218">
        <f t="shared" si="65"/>
        <v>0</v>
      </c>
      <c r="G892" s="218">
        <f t="shared" si="66"/>
        <v>0</v>
      </c>
    </row>
    <row r="893" spans="1:7">
      <c r="A893" s="217">
        <f t="shared" si="67"/>
        <v>4385</v>
      </c>
      <c r="B893" s="216">
        <f t="shared" si="68"/>
        <v>99.1</v>
      </c>
      <c r="C893" s="218">
        <f t="shared" si="69"/>
        <v>0</v>
      </c>
      <c r="D893" s="219">
        <f>INDEX('Step 4 Stage Discharge'!E$26:F$126,MATCH(C893,'Step 4 Stage Discharge'!E$26:E$126,1),2)+(INDEX('Step 4 Stage Discharge'!E$26:F$126,MATCH(C893,'Step 4 Stage Discharge'!E$26:E$126,1)+1,2)-INDEX('Step 4 Stage Discharge'!E$26:F$126,MATCH(C893,'Step 4 Stage Discharge'!E$26:E$126,1),2))*(C893-INDEX('Step 4 Stage Discharge'!E$26:F$126,MATCH(C893,'Step 4 Stage Discharge'!E$26:E$126,1),1))/(INDEX('Step 4 Stage Discharge'!E$26:F$126,MATCH(C893,'Step 4 Stage Discharge'!E$26:E$126,1)+1,1)-INDEX('Step 4 Stage Discharge'!E$26:F$126,MATCH(C893,'Step 4 Stage Discharge'!E$26:E$126,1),1))</f>
        <v>0</v>
      </c>
      <c r="E893" s="219">
        <f>INDEX('Step 4 Stage Discharge'!E$26:M$126,MATCH(C893,'Step 4 Stage Discharge'!E$26:E$126,1),9)+(INDEX('Step 4 Stage Discharge'!E$26:M$126,MATCH('Step 6 Quality Check'!C893,'Step 4 Stage Discharge'!E$26:E$126,1)+1,9)-INDEX('Step 4 Stage Discharge'!E$26:M$126,MATCH('Step 6 Quality Check'!C893,'Step 4 Stage Discharge'!E$26:E$126,1),9))*('Step 6 Quality Check'!C893-INDEX('Step 4 Stage Discharge'!E$26:M$126,MATCH('Step 6 Quality Check'!C893,'Step 4 Stage Discharge'!E$26:E$126,1),1))/(INDEX('Step 4 Stage Discharge'!E$26:M$126,MATCH('Step 6 Quality Check'!C893,'Step 4 Stage Discharge'!E$26:E$126,1)+1,1)-INDEX('Step 4 Stage Discharge'!E$26:M$126,MATCH('Step 6 Quality Check'!C893,'Step 4 Stage Discharge'!E$26:E$126,1),1))</f>
        <v>4.3639431710317386E-3</v>
      </c>
      <c r="F893" s="218">
        <f t="shared" si="65"/>
        <v>0</v>
      </c>
      <c r="G893" s="218">
        <f t="shared" si="66"/>
        <v>0</v>
      </c>
    </row>
    <row r="894" spans="1:7">
      <c r="A894" s="217">
        <f t="shared" si="67"/>
        <v>4390</v>
      </c>
      <c r="B894" s="216">
        <f t="shared" si="68"/>
        <v>99.1</v>
      </c>
      <c r="C894" s="218">
        <f t="shared" si="69"/>
        <v>0</v>
      </c>
      <c r="D894" s="219">
        <f>INDEX('Step 4 Stage Discharge'!E$26:F$126,MATCH(C894,'Step 4 Stage Discharge'!E$26:E$126,1),2)+(INDEX('Step 4 Stage Discharge'!E$26:F$126,MATCH(C894,'Step 4 Stage Discharge'!E$26:E$126,1)+1,2)-INDEX('Step 4 Stage Discharge'!E$26:F$126,MATCH(C894,'Step 4 Stage Discharge'!E$26:E$126,1),2))*(C894-INDEX('Step 4 Stage Discharge'!E$26:F$126,MATCH(C894,'Step 4 Stage Discharge'!E$26:E$126,1),1))/(INDEX('Step 4 Stage Discharge'!E$26:F$126,MATCH(C894,'Step 4 Stage Discharge'!E$26:E$126,1)+1,1)-INDEX('Step 4 Stage Discharge'!E$26:F$126,MATCH(C894,'Step 4 Stage Discharge'!E$26:E$126,1),1))</f>
        <v>0</v>
      </c>
      <c r="E894" s="219">
        <f>INDEX('Step 4 Stage Discharge'!E$26:M$126,MATCH(C894,'Step 4 Stage Discharge'!E$26:E$126,1),9)+(INDEX('Step 4 Stage Discharge'!E$26:M$126,MATCH('Step 6 Quality Check'!C894,'Step 4 Stage Discharge'!E$26:E$126,1)+1,9)-INDEX('Step 4 Stage Discharge'!E$26:M$126,MATCH('Step 6 Quality Check'!C894,'Step 4 Stage Discharge'!E$26:E$126,1),9))*('Step 6 Quality Check'!C894-INDEX('Step 4 Stage Discharge'!E$26:M$126,MATCH('Step 6 Quality Check'!C894,'Step 4 Stage Discharge'!E$26:E$126,1),1))/(INDEX('Step 4 Stage Discharge'!E$26:M$126,MATCH('Step 6 Quality Check'!C894,'Step 4 Stage Discharge'!E$26:E$126,1)+1,1)-INDEX('Step 4 Stage Discharge'!E$26:M$126,MATCH('Step 6 Quality Check'!C894,'Step 4 Stage Discharge'!E$26:E$126,1),1))</f>
        <v>4.3639431710317386E-3</v>
      </c>
      <c r="F894" s="218">
        <f t="shared" si="65"/>
        <v>0</v>
      </c>
      <c r="G894" s="218">
        <f t="shared" si="66"/>
        <v>0</v>
      </c>
    </row>
    <row r="895" spans="1:7">
      <c r="A895" s="217">
        <f t="shared" si="67"/>
        <v>4395</v>
      </c>
      <c r="B895" s="216">
        <f t="shared" si="68"/>
        <v>99.1</v>
      </c>
      <c r="C895" s="218">
        <f t="shared" si="69"/>
        <v>0</v>
      </c>
      <c r="D895" s="219">
        <f>INDEX('Step 4 Stage Discharge'!E$26:F$126,MATCH(C895,'Step 4 Stage Discharge'!E$26:E$126,1),2)+(INDEX('Step 4 Stage Discharge'!E$26:F$126,MATCH(C895,'Step 4 Stage Discharge'!E$26:E$126,1)+1,2)-INDEX('Step 4 Stage Discharge'!E$26:F$126,MATCH(C895,'Step 4 Stage Discharge'!E$26:E$126,1),2))*(C895-INDEX('Step 4 Stage Discharge'!E$26:F$126,MATCH(C895,'Step 4 Stage Discharge'!E$26:E$126,1),1))/(INDEX('Step 4 Stage Discharge'!E$26:F$126,MATCH(C895,'Step 4 Stage Discharge'!E$26:E$126,1)+1,1)-INDEX('Step 4 Stage Discharge'!E$26:F$126,MATCH(C895,'Step 4 Stage Discharge'!E$26:E$126,1),1))</f>
        <v>0</v>
      </c>
      <c r="E895" s="219">
        <f>INDEX('Step 4 Stage Discharge'!E$26:M$126,MATCH(C895,'Step 4 Stage Discharge'!E$26:E$126,1),9)+(INDEX('Step 4 Stage Discharge'!E$26:M$126,MATCH('Step 6 Quality Check'!C895,'Step 4 Stage Discharge'!E$26:E$126,1)+1,9)-INDEX('Step 4 Stage Discharge'!E$26:M$126,MATCH('Step 6 Quality Check'!C895,'Step 4 Stage Discharge'!E$26:E$126,1),9))*('Step 6 Quality Check'!C895-INDEX('Step 4 Stage Discharge'!E$26:M$126,MATCH('Step 6 Quality Check'!C895,'Step 4 Stage Discharge'!E$26:E$126,1),1))/(INDEX('Step 4 Stage Discharge'!E$26:M$126,MATCH('Step 6 Quality Check'!C895,'Step 4 Stage Discharge'!E$26:E$126,1)+1,1)-INDEX('Step 4 Stage Discharge'!E$26:M$126,MATCH('Step 6 Quality Check'!C895,'Step 4 Stage Discharge'!E$26:E$126,1),1))</f>
        <v>4.3639431710317386E-3</v>
      </c>
      <c r="F895" s="218">
        <f t="shared" si="65"/>
        <v>0</v>
      </c>
      <c r="G895" s="218">
        <f t="shared" si="66"/>
        <v>0</v>
      </c>
    </row>
    <row r="896" spans="1:7">
      <c r="A896" s="217">
        <f t="shared" si="67"/>
        <v>4400</v>
      </c>
      <c r="B896" s="216">
        <f t="shared" si="68"/>
        <v>99.1</v>
      </c>
      <c r="C896" s="218">
        <f t="shared" si="69"/>
        <v>0</v>
      </c>
      <c r="D896" s="219">
        <f>INDEX('Step 4 Stage Discharge'!E$26:F$126,MATCH(C896,'Step 4 Stage Discharge'!E$26:E$126,1),2)+(INDEX('Step 4 Stage Discharge'!E$26:F$126,MATCH(C896,'Step 4 Stage Discharge'!E$26:E$126,1)+1,2)-INDEX('Step 4 Stage Discharge'!E$26:F$126,MATCH(C896,'Step 4 Stage Discharge'!E$26:E$126,1),2))*(C896-INDEX('Step 4 Stage Discharge'!E$26:F$126,MATCH(C896,'Step 4 Stage Discharge'!E$26:E$126,1),1))/(INDEX('Step 4 Stage Discharge'!E$26:F$126,MATCH(C896,'Step 4 Stage Discharge'!E$26:E$126,1)+1,1)-INDEX('Step 4 Stage Discharge'!E$26:F$126,MATCH(C896,'Step 4 Stage Discharge'!E$26:E$126,1),1))</f>
        <v>0</v>
      </c>
      <c r="E896" s="219">
        <f>INDEX('Step 4 Stage Discharge'!E$26:M$126,MATCH(C896,'Step 4 Stage Discharge'!E$26:E$126,1),9)+(INDEX('Step 4 Stage Discharge'!E$26:M$126,MATCH('Step 6 Quality Check'!C896,'Step 4 Stage Discharge'!E$26:E$126,1)+1,9)-INDEX('Step 4 Stage Discharge'!E$26:M$126,MATCH('Step 6 Quality Check'!C896,'Step 4 Stage Discharge'!E$26:E$126,1),9))*('Step 6 Quality Check'!C896-INDEX('Step 4 Stage Discharge'!E$26:M$126,MATCH('Step 6 Quality Check'!C896,'Step 4 Stage Discharge'!E$26:E$126,1),1))/(INDEX('Step 4 Stage Discharge'!E$26:M$126,MATCH('Step 6 Quality Check'!C896,'Step 4 Stage Discharge'!E$26:E$126,1)+1,1)-INDEX('Step 4 Stage Discharge'!E$26:M$126,MATCH('Step 6 Quality Check'!C896,'Step 4 Stage Discharge'!E$26:E$126,1),1))</f>
        <v>4.3639431710317386E-3</v>
      </c>
      <c r="F896" s="218">
        <f t="shared" si="65"/>
        <v>0</v>
      </c>
      <c r="G896" s="218">
        <f t="shared" si="66"/>
        <v>0</v>
      </c>
    </row>
    <row r="897" spans="1:7">
      <c r="A897" s="217">
        <f t="shared" si="67"/>
        <v>4405</v>
      </c>
      <c r="B897" s="216">
        <f t="shared" si="68"/>
        <v>99.1</v>
      </c>
      <c r="C897" s="218">
        <f t="shared" si="69"/>
        <v>0</v>
      </c>
      <c r="D897" s="219">
        <f>INDEX('Step 4 Stage Discharge'!E$26:F$126,MATCH(C897,'Step 4 Stage Discharge'!E$26:E$126,1),2)+(INDEX('Step 4 Stage Discharge'!E$26:F$126,MATCH(C897,'Step 4 Stage Discharge'!E$26:E$126,1)+1,2)-INDEX('Step 4 Stage Discharge'!E$26:F$126,MATCH(C897,'Step 4 Stage Discharge'!E$26:E$126,1),2))*(C897-INDEX('Step 4 Stage Discharge'!E$26:F$126,MATCH(C897,'Step 4 Stage Discharge'!E$26:E$126,1),1))/(INDEX('Step 4 Stage Discharge'!E$26:F$126,MATCH(C897,'Step 4 Stage Discharge'!E$26:E$126,1)+1,1)-INDEX('Step 4 Stage Discharge'!E$26:F$126,MATCH(C897,'Step 4 Stage Discharge'!E$26:E$126,1),1))</f>
        <v>0</v>
      </c>
      <c r="E897" s="219">
        <f>INDEX('Step 4 Stage Discharge'!E$26:M$126,MATCH(C897,'Step 4 Stage Discharge'!E$26:E$126,1),9)+(INDEX('Step 4 Stage Discharge'!E$26:M$126,MATCH('Step 6 Quality Check'!C897,'Step 4 Stage Discharge'!E$26:E$126,1)+1,9)-INDEX('Step 4 Stage Discharge'!E$26:M$126,MATCH('Step 6 Quality Check'!C897,'Step 4 Stage Discharge'!E$26:E$126,1),9))*('Step 6 Quality Check'!C897-INDEX('Step 4 Stage Discharge'!E$26:M$126,MATCH('Step 6 Quality Check'!C897,'Step 4 Stage Discharge'!E$26:E$126,1),1))/(INDEX('Step 4 Stage Discharge'!E$26:M$126,MATCH('Step 6 Quality Check'!C897,'Step 4 Stage Discharge'!E$26:E$126,1)+1,1)-INDEX('Step 4 Stage Discharge'!E$26:M$126,MATCH('Step 6 Quality Check'!C897,'Step 4 Stage Discharge'!E$26:E$126,1),1))</f>
        <v>4.3639431710317386E-3</v>
      </c>
      <c r="F897" s="218">
        <f t="shared" si="65"/>
        <v>0</v>
      </c>
      <c r="G897" s="218">
        <f t="shared" si="66"/>
        <v>0</v>
      </c>
    </row>
    <row r="898" spans="1:7">
      <c r="A898" s="217">
        <f t="shared" si="67"/>
        <v>4410</v>
      </c>
      <c r="B898" s="216">
        <f t="shared" si="68"/>
        <v>99.1</v>
      </c>
      <c r="C898" s="218">
        <f t="shared" si="69"/>
        <v>0</v>
      </c>
      <c r="D898" s="219">
        <f>INDEX('Step 4 Stage Discharge'!E$26:F$126,MATCH(C898,'Step 4 Stage Discharge'!E$26:E$126,1),2)+(INDEX('Step 4 Stage Discharge'!E$26:F$126,MATCH(C898,'Step 4 Stage Discharge'!E$26:E$126,1)+1,2)-INDEX('Step 4 Stage Discharge'!E$26:F$126,MATCH(C898,'Step 4 Stage Discharge'!E$26:E$126,1),2))*(C898-INDEX('Step 4 Stage Discharge'!E$26:F$126,MATCH(C898,'Step 4 Stage Discharge'!E$26:E$126,1),1))/(INDEX('Step 4 Stage Discharge'!E$26:F$126,MATCH(C898,'Step 4 Stage Discharge'!E$26:E$126,1)+1,1)-INDEX('Step 4 Stage Discharge'!E$26:F$126,MATCH(C898,'Step 4 Stage Discharge'!E$26:E$126,1),1))</f>
        <v>0</v>
      </c>
      <c r="E898" s="219">
        <f>INDEX('Step 4 Stage Discharge'!E$26:M$126,MATCH(C898,'Step 4 Stage Discharge'!E$26:E$126,1),9)+(INDEX('Step 4 Stage Discharge'!E$26:M$126,MATCH('Step 6 Quality Check'!C898,'Step 4 Stage Discharge'!E$26:E$126,1)+1,9)-INDEX('Step 4 Stage Discharge'!E$26:M$126,MATCH('Step 6 Quality Check'!C898,'Step 4 Stage Discharge'!E$26:E$126,1),9))*('Step 6 Quality Check'!C898-INDEX('Step 4 Stage Discharge'!E$26:M$126,MATCH('Step 6 Quality Check'!C898,'Step 4 Stage Discharge'!E$26:E$126,1),1))/(INDEX('Step 4 Stage Discharge'!E$26:M$126,MATCH('Step 6 Quality Check'!C898,'Step 4 Stage Discharge'!E$26:E$126,1)+1,1)-INDEX('Step 4 Stage Discharge'!E$26:M$126,MATCH('Step 6 Quality Check'!C898,'Step 4 Stage Discharge'!E$26:E$126,1),1))</f>
        <v>4.3639431710317386E-3</v>
      </c>
      <c r="F898" s="218">
        <f t="shared" si="65"/>
        <v>0</v>
      </c>
      <c r="G898" s="218">
        <f t="shared" si="66"/>
        <v>0</v>
      </c>
    </row>
    <row r="899" spans="1:7">
      <c r="A899" s="217">
        <f t="shared" si="67"/>
        <v>4415</v>
      </c>
      <c r="B899" s="216">
        <f t="shared" si="68"/>
        <v>99.1</v>
      </c>
      <c r="C899" s="218">
        <f t="shared" si="69"/>
        <v>0</v>
      </c>
      <c r="D899" s="219">
        <f>INDEX('Step 4 Stage Discharge'!E$26:F$126,MATCH(C899,'Step 4 Stage Discharge'!E$26:E$126,1),2)+(INDEX('Step 4 Stage Discharge'!E$26:F$126,MATCH(C899,'Step 4 Stage Discharge'!E$26:E$126,1)+1,2)-INDEX('Step 4 Stage Discharge'!E$26:F$126,MATCH(C899,'Step 4 Stage Discharge'!E$26:E$126,1),2))*(C899-INDEX('Step 4 Stage Discharge'!E$26:F$126,MATCH(C899,'Step 4 Stage Discharge'!E$26:E$126,1),1))/(INDEX('Step 4 Stage Discharge'!E$26:F$126,MATCH(C899,'Step 4 Stage Discharge'!E$26:E$126,1)+1,1)-INDEX('Step 4 Stage Discharge'!E$26:F$126,MATCH(C899,'Step 4 Stage Discharge'!E$26:E$126,1),1))</f>
        <v>0</v>
      </c>
      <c r="E899" s="219">
        <f>INDEX('Step 4 Stage Discharge'!E$26:M$126,MATCH(C899,'Step 4 Stage Discharge'!E$26:E$126,1),9)+(INDEX('Step 4 Stage Discharge'!E$26:M$126,MATCH('Step 6 Quality Check'!C899,'Step 4 Stage Discharge'!E$26:E$126,1)+1,9)-INDEX('Step 4 Stage Discharge'!E$26:M$126,MATCH('Step 6 Quality Check'!C899,'Step 4 Stage Discharge'!E$26:E$126,1),9))*('Step 6 Quality Check'!C899-INDEX('Step 4 Stage Discharge'!E$26:M$126,MATCH('Step 6 Quality Check'!C899,'Step 4 Stage Discharge'!E$26:E$126,1),1))/(INDEX('Step 4 Stage Discharge'!E$26:M$126,MATCH('Step 6 Quality Check'!C899,'Step 4 Stage Discharge'!E$26:E$126,1)+1,1)-INDEX('Step 4 Stage Discharge'!E$26:M$126,MATCH('Step 6 Quality Check'!C899,'Step 4 Stage Discharge'!E$26:E$126,1),1))</f>
        <v>4.3639431710317386E-3</v>
      </c>
      <c r="F899" s="218">
        <f t="shared" si="65"/>
        <v>0</v>
      </c>
      <c r="G899" s="218">
        <f t="shared" si="66"/>
        <v>0</v>
      </c>
    </row>
    <row r="900" spans="1:7">
      <c r="A900" s="217">
        <f t="shared" si="67"/>
        <v>4420</v>
      </c>
      <c r="B900" s="216">
        <f t="shared" si="68"/>
        <v>99.1</v>
      </c>
      <c r="C900" s="218">
        <f t="shared" si="69"/>
        <v>0</v>
      </c>
      <c r="D900" s="219">
        <f>INDEX('Step 4 Stage Discharge'!E$26:F$126,MATCH(C900,'Step 4 Stage Discharge'!E$26:E$126,1),2)+(INDEX('Step 4 Stage Discharge'!E$26:F$126,MATCH(C900,'Step 4 Stage Discharge'!E$26:E$126,1)+1,2)-INDEX('Step 4 Stage Discharge'!E$26:F$126,MATCH(C900,'Step 4 Stage Discharge'!E$26:E$126,1),2))*(C900-INDEX('Step 4 Stage Discharge'!E$26:F$126,MATCH(C900,'Step 4 Stage Discharge'!E$26:E$126,1),1))/(INDEX('Step 4 Stage Discharge'!E$26:F$126,MATCH(C900,'Step 4 Stage Discharge'!E$26:E$126,1)+1,1)-INDEX('Step 4 Stage Discharge'!E$26:F$126,MATCH(C900,'Step 4 Stage Discharge'!E$26:E$126,1),1))</f>
        <v>0</v>
      </c>
      <c r="E900" s="219">
        <f>INDEX('Step 4 Stage Discharge'!E$26:M$126,MATCH(C900,'Step 4 Stage Discharge'!E$26:E$126,1),9)+(INDEX('Step 4 Stage Discharge'!E$26:M$126,MATCH('Step 6 Quality Check'!C900,'Step 4 Stage Discharge'!E$26:E$126,1)+1,9)-INDEX('Step 4 Stage Discharge'!E$26:M$126,MATCH('Step 6 Quality Check'!C900,'Step 4 Stage Discharge'!E$26:E$126,1),9))*('Step 6 Quality Check'!C900-INDEX('Step 4 Stage Discharge'!E$26:M$126,MATCH('Step 6 Quality Check'!C900,'Step 4 Stage Discharge'!E$26:E$126,1),1))/(INDEX('Step 4 Stage Discharge'!E$26:M$126,MATCH('Step 6 Quality Check'!C900,'Step 4 Stage Discharge'!E$26:E$126,1)+1,1)-INDEX('Step 4 Stage Discharge'!E$26:M$126,MATCH('Step 6 Quality Check'!C900,'Step 4 Stage Discharge'!E$26:E$126,1),1))</f>
        <v>4.3639431710317386E-3</v>
      </c>
      <c r="F900" s="218">
        <f t="shared" si="65"/>
        <v>0</v>
      </c>
      <c r="G900" s="218">
        <f t="shared" si="66"/>
        <v>0</v>
      </c>
    </row>
    <row r="901" spans="1:7">
      <c r="A901" s="217">
        <f t="shared" si="67"/>
        <v>4425</v>
      </c>
      <c r="B901" s="216">
        <f t="shared" si="68"/>
        <v>99.1</v>
      </c>
      <c r="C901" s="218">
        <f t="shared" si="69"/>
        <v>0</v>
      </c>
      <c r="D901" s="219">
        <f>INDEX('Step 4 Stage Discharge'!E$26:F$126,MATCH(C901,'Step 4 Stage Discharge'!E$26:E$126,1),2)+(INDEX('Step 4 Stage Discharge'!E$26:F$126,MATCH(C901,'Step 4 Stage Discharge'!E$26:E$126,1)+1,2)-INDEX('Step 4 Stage Discharge'!E$26:F$126,MATCH(C901,'Step 4 Stage Discharge'!E$26:E$126,1),2))*(C901-INDEX('Step 4 Stage Discharge'!E$26:F$126,MATCH(C901,'Step 4 Stage Discharge'!E$26:E$126,1),1))/(INDEX('Step 4 Stage Discharge'!E$26:F$126,MATCH(C901,'Step 4 Stage Discharge'!E$26:E$126,1)+1,1)-INDEX('Step 4 Stage Discharge'!E$26:F$126,MATCH(C901,'Step 4 Stage Discharge'!E$26:E$126,1),1))</f>
        <v>0</v>
      </c>
      <c r="E901" s="219">
        <f>INDEX('Step 4 Stage Discharge'!E$26:M$126,MATCH(C901,'Step 4 Stage Discharge'!E$26:E$126,1),9)+(INDEX('Step 4 Stage Discharge'!E$26:M$126,MATCH('Step 6 Quality Check'!C901,'Step 4 Stage Discharge'!E$26:E$126,1)+1,9)-INDEX('Step 4 Stage Discharge'!E$26:M$126,MATCH('Step 6 Quality Check'!C901,'Step 4 Stage Discharge'!E$26:E$126,1),9))*('Step 6 Quality Check'!C901-INDEX('Step 4 Stage Discharge'!E$26:M$126,MATCH('Step 6 Quality Check'!C901,'Step 4 Stage Discharge'!E$26:E$126,1),1))/(INDEX('Step 4 Stage Discharge'!E$26:M$126,MATCH('Step 6 Quality Check'!C901,'Step 4 Stage Discharge'!E$26:E$126,1)+1,1)-INDEX('Step 4 Stage Discharge'!E$26:M$126,MATCH('Step 6 Quality Check'!C901,'Step 4 Stage Discharge'!E$26:E$126,1),1))</f>
        <v>4.3639431710317386E-3</v>
      </c>
      <c r="F901" s="218">
        <f t="shared" si="65"/>
        <v>0</v>
      </c>
      <c r="G901" s="218">
        <f t="shared" si="66"/>
        <v>0</v>
      </c>
    </row>
    <row r="902" spans="1:7">
      <c r="A902" s="217">
        <f t="shared" si="67"/>
        <v>4430</v>
      </c>
      <c r="B902" s="216">
        <f t="shared" si="68"/>
        <v>99.1</v>
      </c>
      <c r="C902" s="218">
        <f t="shared" si="69"/>
        <v>0</v>
      </c>
      <c r="D902" s="219">
        <f>INDEX('Step 4 Stage Discharge'!E$26:F$126,MATCH(C902,'Step 4 Stage Discharge'!E$26:E$126,1),2)+(INDEX('Step 4 Stage Discharge'!E$26:F$126,MATCH(C902,'Step 4 Stage Discharge'!E$26:E$126,1)+1,2)-INDEX('Step 4 Stage Discharge'!E$26:F$126,MATCH(C902,'Step 4 Stage Discharge'!E$26:E$126,1),2))*(C902-INDEX('Step 4 Stage Discharge'!E$26:F$126,MATCH(C902,'Step 4 Stage Discharge'!E$26:E$126,1),1))/(INDEX('Step 4 Stage Discharge'!E$26:F$126,MATCH(C902,'Step 4 Stage Discharge'!E$26:E$126,1)+1,1)-INDEX('Step 4 Stage Discharge'!E$26:F$126,MATCH(C902,'Step 4 Stage Discharge'!E$26:E$126,1),1))</f>
        <v>0</v>
      </c>
      <c r="E902" s="219">
        <f>INDEX('Step 4 Stage Discharge'!E$26:M$126,MATCH(C902,'Step 4 Stage Discharge'!E$26:E$126,1),9)+(INDEX('Step 4 Stage Discharge'!E$26:M$126,MATCH('Step 6 Quality Check'!C902,'Step 4 Stage Discharge'!E$26:E$126,1)+1,9)-INDEX('Step 4 Stage Discharge'!E$26:M$126,MATCH('Step 6 Quality Check'!C902,'Step 4 Stage Discharge'!E$26:E$126,1),9))*('Step 6 Quality Check'!C902-INDEX('Step 4 Stage Discharge'!E$26:M$126,MATCH('Step 6 Quality Check'!C902,'Step 4 Stage Discharge'!E$26:E$126,1),1))/(INDEX('Step 4 Stage Discharge'!E$26:M$126,MATCH('Step 6 Quality Check'!C902,'Step 4 Stage Discharge'!E$26:E$126,1)+1,1)-INDEX('Step 4 Stage Discharge'!E$26:M$126,MATCH('Step 6 Quality Check'!C902,'Step 4 Stage Discharge'!E$26:E$126,1),1))</f>
        <v>4.3639431710317386E-3</v>
      </c>
      <c r="F902" s="218">
        <f t="shared" si="65"/>
        <v>0</v>
      </c>
      <c r="G902" s="218">
        <f t="shared" si="66"/>
        <v>0</v>
      </c>
    </row>
    <row r="903" spans="1:7">
      <c r="A903" s="217">
        <f t="shared" si="67"/>
        <v>4435</v>
      </c>
      <c r="B903" s="216">
        <f t="shared" si="68"/>
        <v>99.1</v>
      </c>
      <c r="C903" s="218">
        <f t="shared" si="69"/>
        <v>0</v>
      </c>
      <c r="D903" s="219">
        <f>INDEX('Step 4 Stage Discharge'!E$26:F$126,MATCH(C903,'Step 4 Stage Discharge'!E$26:E$126,1),2)+(INDEX('Step 4 Stage Discharge'!E$26:F$126,MATCH(C903,'Step 4 Stage Discharge'!E$26:E$126,1)+1,2)-INDEX('Step 4 Stage Discharge'!E$26:F$126,MATCH(C903,'Step 4 Stage Discharge'!E$26:E$126,1),2))*(C903-INDEX('Step 4 Stage Discharge'!E$26:F$126,MATCH(C903,'Step 4 Stage Discharge'!E$26:E$126,1),1))/(INDEX('Step 4 Stage Discharge'!E$26:F$126,MATCH(C903,'Step 4 Stage Discharge'!E$26:E$126,1)+1,1)-INDEX('Step 4 Stage Discharge'!E$26:F$126,MATCH(C903,'Step 4 Stage Discharge'!E$26:E$126,1),1))</f>
        <v>0</v>
      </c>
      <c r="E903" s="219">
        <f>INDEX('Step 4 Stage Discharge'!E$26:M$126,MATCH(C903,'Step 4 Stage Discharge'!E$26:E$126,1),9)+(INDEX('Step 4 Stage Discharge'!E$26:M$126,MATCH('Step 6 Quality Check'!C903,'Step 4 Stage Discharge'!E$26:E$126,1)+1,9)-INDEX('Step 4 Stage Discharge'!E$26:M$126,MATCH('Step 6 Quality Check'!C903,'Step 4 Stage Discharge'!E$26:E$126,1),9))*('Step 6 Quality Check'!C903-INDEX('Step 4 Stage Discharge'!E$26:M$126,MATCH('Step 6 Quality Check'!C903,'Step 4 Stage Discharge'!E$26:E$126,1),1))/(INDEX('Step 4 Stage Discharge'!E$26:M$126,MATCH('Step 6 Quality Check'!C903,'Step 4 Stage Discharge'!E$26:E$126,1)+1,1)-INDEX('Step 4 Stage Discharge'!E$26:M$126,MATCH('Step 6 Quality Check'!C903,'Step 4 Stage Discharge'!E$26:E$126,1),1))</f>
        <v>4.3639431710317386E-3</v>
      </c>
      <c r="F903" s="218">
        <f t="shared" si="65"/>
        <v>0</v>
      </c>
      <c r="G903" s="218">
        <f t="shared" si="66"/>
        <v>0</v>
      </c>
    </row>
    <row r="904" spans="1:7">
      <c r="A904" s="217">
        <f t="shared" si="67"/>
        <v>4440</v>
      </c>
      <c r="B904" s="216">
        <f t="shared" si="68"/>
        <v>99.1</v>
      </c>
      <c r="C904" s="218">
        <f t="shared" si="69"/>
        <v>0</v>
      </c>
      <c r="D904" s="219">
        <f>INDEX('Step 4 Stage Discharge'!E$26:F$126,MATCH(C904,'Step 4 Stage Discharge'!E$26:E$126,1),2)+(INDEX('Step 4 Stage Discharge'!E$26:F$126,MATCH(C904,'Step 4 Stage Discharge'!E$26:E$126,1)+1,2)-INDEX('Step 4 Stage Discharge'!E$26:F$126,MATCH(C904,'Step 4 Stage Discharge'!E$26:E$126,1),2))*(C904-INDEX('Step 4 Stage Discharge'!E$26:F$126,MATCH(C904,'Step 4 Stage Discharge'!E$26:E$126,1),1))/(INDEX('Step 4 Stage Discharge'!E$26:F$126,MATCH(C904,'Step 4 Stage Discharge'!E$26:E$126,1)+1,1)-INDEX('Step 4 Stage Discharge'!E$26:F$126,MATCH(C904,'Step 4 Stage Discharge'!E$26:E$126,1),1))</f>
        <v>0</v>
      </c>
      <c r="E904" s="219">
        <f>INDEX('Step 4 Stage Discharge'!E$26:M$126,MATCH(C904,'Step 4 Stage Discharge'!E$26:E$126,1),9)+(INDEX('Step 4 Stage Discharge'!E$26:M$126,MATCH('Step 6 Quality Check'!C904,'Step 4 Stage Discharge'!E$26:E$126,1)+1,9)-INDEX('Step 4 Stage Discharge'!E$26:M$126,MATCH('Step 6 Quality Check'!C904,'Step 4 Stage Discharge'!E$26:E$126,1),9))*('Step 6 Quality Check'!C904-INDEX('Step 4 Stage Discharge'!E$26:M$126,MATCH('Step 6 Quality Check'!C904,'Step 4 Stage Discharge'!E$26:E$126,1),1))/(INDEX('Step 4 Stage Discharge'!E$26:M$126,MATCH('Step 6 Quality Check'!C904,'Step 4 Stage Discharge'!E$26:E$126,1)+1,1)-INDEX('Step 4 Stage Discharge'!E$26:M$126,MATCH('Step 6 Quality Check'!C904,'Step 4 Stage Discharge'!E$26:E$126,1),1))</f>
        <v>4.3639431710317386E-3</v>
      </c>
      <c r="F904" s="218">
        <f t="shared" si="65"/>
        <v>0</v>
      </c>
      <c r="G904" s="218">
        <f t="shared" si="66"/>
        <v>0</v>
      </c>
    </row>
    <row r="905" spans="1:7">
      <c r="A905" s="217">
        <f t="shared" si="67"/>
        <v>4445</v>
      </c>
      <c r="B905" s="216">
        <f t="shared" si="68"/>
        <v>99.1</v>
      </c>
      <c r="C905" s="218">
        <f t="shared" si="69"/>
        <v>0</v>
      </c>
      <c r="D905" s="219">
        <f>INDEX('Step 4 Stage Discharge'!E$26:F$126,MATCH(C905,'Step 4 Stage Discharge'!E$26:E$126,1),2)+(INDEX('Step 4 Stage Discharge'!E$26:F$126,MATCH(C905,'Step 4 Stage Discharge'!E$26:E$126,1)+1,2)-INDEX('Step 4 Stage Discharge'!E$26:F$126,MATCH(C905,'Step 4 Stage Discharge'!E$26:E$126,1),2))*(C905-INDEX('Step 4 Stage Discharge'!E$26:F$126,MATCH(C905,'Step 4 Stage Discharge'!E$26:E$126,1),1))/(INDEX('Step 4 Stage Discharge'!E$26:F$126,MATCH(C905,'Step 4 Stage Discharge'!E$26:E$126,1)+1,1)-INDEX('Step 4 Stage Discharge'!E$26:F$126,MATCH(C905,'Step 4 Stage Discharge'!E$26:E$126,1),1))</f>
        <v>0</v>
      </c>
      <c r="E905" s="219">
        <f>INDEX('Step 4 Stage Discharge'!E$26:M$126,MATCH(C905,'Step 4 Stage Discharge'!E$26:E$126,1),9)+(INDEX('Step 4 Stage Discharge'!E$26:M$126,MATCH('Step 6 Quality Check'!C905,'Step 4 Stage Discharge'!E$26:E$126,1)+1,9)-INDEX('Step 4 Stage Discharge'!E$26:M$126,MATCH('Step 6 Quality Check'!C905,'Step 4 Stage Discharge'!E$26:E$126,1),9))*('Step 6 Quality Check'!C905-INDEX('Step 4 Stage Discharge'!E$26:M$126,MATCH('Step 6 Quality Check'!C905,'Step 4 Stage Discharge'!E$26:E$126,1),1))/(INDEX('Step 4 Stage Discharge'!E$26:M$126,MATCH('Step 6 Quality Check'!C905,'Step 4 Stage Discharge'!E$26:E$126,1)+1,1)-INDEX('Step 4 Stage Discharge'!E$26:M$126,MATCH('Step 6 Quality Check'!C905,'Step 4 Stage Discharge'!E$26:E$126,1),1))</f>
        <v>4.3639431710317386E-3</v>
      </c>
      <c r="F905" s="218">
        <f t="shared" si="65"/>
        <v>0</v>
      </c>
      <c r="G905" s="218">
        <f t="shared" si="66"/>
        <v>0</v>
      </c>
    </row>
    <row r="906" spans="1:7">
      <c r="A906" s="217">
        <f t="shared" si="67"/>
        <v>4450</v>
      </c>
      <c r="B906" s="216">
        <f t="shared" si="68"/>
        <v>99.1</v>
      </c>
      <c r="C906" s="218">
        <f t="shared" si="69"/>
        <v>0</v>
      </c>
      <c r="D906" s="219">
        <f>INDEX('Step 4 Stage Discharge'!E$26:F$126,MATCH(C906,'Step 4 Stage Discharge'!E$26:E$126,1),2)+(INDEX('Step 4 Stage Discharge'!E$26:F$126,MATCH(C906,'Step 4 Stage Discharge'!E$26:E$126,1)+1,2)-INDEX('Step 4 Stage Discharge'!E$26:F$126,MATCH(C906,'Step 4 Stage Discharge'!E$26:E$126,1),2))*(C906-INDEX('Step 4 Stage Discharge'!E$26:F$126,MATCH(C906,'Step 4 Stage Discharge'!E$26:E$126,1),1))/(INDEX('Step 4 Stage Discharge'!E$26:F$126,MATCH(C906,'Step 4 Stage Discharge'!E$26:E$126,1)+1,1)-INDEX('Step 4 Stage Discharge'!E$26:F$126,MATCH(C906,'Step 4 Stage Discharge'!E$26:E$126,1),1))</f>
        <v>0</v>
      </c>
      <c r="E906" s="219">
        <f>INDEX('Step 4 Stage Discharge'!E$26:M$126,MATCH(C906,'Step 4 Stage Discharge'!E$26:E$126,1),9)+(INDEX('Step 4 Stage Discharge'!E$26:M$126,MATCH('Step 6 Quality Check'!C906,'Step 4 Stage Discharge'!E$26:E$126,1)+1,9)-INDEX('Step 4 Stage Discharge'!E$26:M$126,MATCH('Step 6 Quality Check'!C906,'Step 4 Stage Discharge'!E$26:E$126,1),9))*('Step 6 Quality Check'!C906-INDEX('Step 4 Stage Discharge'!E$26:M$126,MATCH('Step 6 Quality Check'!C906,'Step 4 Stage Discharge'!E$26:E$126,1),1))/(INDEX('Step 4 Stage Discharge'!E$26:M$126,MATCH('Step 6 Quality Check'!C906,'Step 4 Stage Discharge'!E$26:E$126,1)+1,1)-INDEX('Step 4 Stage Discharge'!E$26:M$126,MATCH('Step 6 Quality Check'!C906,'Step 4 Stage Discharge'!E$26:E$126,1),1))</f>
        <v>4.3639431710317386E-3</v>
      </c>
      <c r="F906" s="218">
        <f t="shared" si="65"/>
        <v>0</v>
      </c>
      <c r="G906" s="218">
        <f t="shared" si="66"/>
        <v>0</v>
      </c>
    </row>
    <row r="907" spans="1:7">
      <c r="A907" s="217">
        <f t="shared" si="67"/>
        <v>4455</v>
      </c>
      <c r="B907" s="216">
        <f t="shared" si="68"/>
        <v>99.1</v>
      </c>
      <c r="C907" s="218">
        <f t="shared" si="69"/>
        <v>0</v>
      </c>
      <c r="D907" s="219">
        <f>INDEX('Step 4 Stage Discharge'!E$26:F$126,MATCH(C907,'Step 4 Stage Discharge'!E$26:E$126,1),2)+(INDEX('Step 4 Stage Discharge'!E$26:F$126,MATCH(C907,'Step 4 Stage Discharge'!E$26:E$126,1)+1,2)-INDEX('Step 4 Stage Discharge'!E$26:F$126,MATCH(C907,'Step 4 Stage Discharge'!E$26:E$126,1),2))*(C907-INDEX('Step 4 Stage Discharge'!E$26:F$126,MATCH(C907,'Step 4 Stage Discharge'!E$26:E$126,1),1))/(INDEX('Step 4 Stage Discharge'!E$26:F$126,MATCH(C907,'Step 4 Stage Discharge'!E$26:E$126,1)+1,1)-INDEX('Step 4 Stage Discharge'!E$26:F$126,MATCH(C907,'Step 4 Stage Discharge'!E$26:E$126,1),1))</f>
        <v>0</v>
      </c>
      <c r="E907" s="219">
        <f>INDEX('Step 4 Stage Discharge'!E$26:M$126,MATCH(C907,'Step 4 Stage Discharge'!E$26:E$126,1),9)+(INDEX('Step 4 Stage Discharge'!E$26:M$126,MATCH('Step 6 Quality Check'!C907,'Step 4 Stage Discharge'!E$26:E$126,1)+1,9)-INDEX('Step 4 Stage Discharge'!E$26:M$126,MATCH('Step 6 Quality Check'!C907,'Step 4 Stage Discharge'!E$26:E$126,1),9))*('Step 6 Quality Check'!C907-INDEX('Step 4 Stage Discharge'!E$26:M$126,MATCH('Step 6 Quality Check'!C907,'Step 4 Stage Discharge'!E$26:E$126,1),1))/(INDEX('Step 4 Stage Discharge'!E$26:M$126,MATCH('Step 6 Quality Check'!C907,'Step 4 Stage Discharge'!E$26:E$126,1)+1,1)-INDEX('Step 4 Stage Discharge'!E$26:M$126,MATCH('Step 6 Quality Check'!C907,'Step 4 Stage Discharge'!E$26:E$126,1),1))</f>
        <v>4.3639431710317386E-3</v>
      </c>
      <c r="F907" s="218">
        <f t="shared" si="65"/>
        <v>0</v>
      </c>
      <c r="G907" s="218">
        <f t="shared" si="66"/>
        <v>0</v>
      </c>
    </row>
    <row r="908" spans="1:7">
      <c r="A908" s="217">
        <f t="shared" si="67"/>
        <v>4460</v>
      </c>
      <c r="B908" s="216">
        <f t="shared" si="68"/>
        <v>99.1</v>
      </c>
      <c r="C908" s="218">
        <f t="shared" si="69"/>
        <v>0</v>
      </c>
      <c r="D908" s="219">
        <f>INDEX('Step 4 Stage Discharge'!E$26:F$126,MATCH(C908,'Step 4 Stage Discharge'!E$26:E$126,1),2)+(INDEX('Step 4 Stage Discharge'!E$26:F$126,MATCH(C908,'Step 4 Stage Discharge'!E$26:E$126,1)+1,2)-INDEX('Step 4 Stage Discharge'!E$26:F$126,MATCH(C908,'Step 4 Stage Discharge'!E$26:E$126,1),2))*(C908-INDEX('Step 4 Stage Discharge'!E$26:F$126,MATCH(C908,'Step 4 Stage Discharge'!E$26:E$126,1),1))/(INDEX('Step 4 Stage Discharge'!E$26:F$126,MATCH(C908,'Step 4 Stage Discharge'!E$26:E$126,1)+1,1)-INDEX('Step 4 Stage Discharge'!E$26:F$126,MATCH(C908,'Step 4 Stage Discharge'!E$26:E$126,1),1))</f>
        <v>0</v>
      </c>
      <c r="E908" s="219">
        <f>INDEX('Step 4 Stage Discharge'!E$26:M$126,MATCH(C908,'Step 4 Stage Discharge'!E$26:E$126,1),9)+(INDEX('Step 4 Stage Discharge'!E$26:M$126,MATCH('Step 6 Quality Check'!C908,'Step 4 Stage Discharge'!E$26:E$126,1)+1,9)-INDEX('Step 4 Stage Discharge'!E$26:M$126,MATCH('Step 6 Quality Check'!C908,'Step 4 Stage Discharge'!E$26:E$126,1),9))*('Step 6 Quality Check'!C908-INDEX('Step 4 Stage Discharge'!E$26:M$126,MATCH('Step 6 Quality Check'!C908,'Step 4 Stage Discharge'!E$26:E$126,1),1))/(INDEX('Step 4 Stage Discharge'!E$26:M$126,MATCH('Step 6 Quality Check'!C908,'Step 4 Stage Discharge'!E$26:E$126,1)+1,1)-INDEX('Step 4 Stage Discharge'!E$26:M$126,MATCH('Step 6 Quality Check'!C908,'Step 4 Stage Discharge'!E$26:E$126,1),1))</f>
        <v>4.3639431710317386E-3</v>
      </c>
      <c r="F908" s="218">
        <f t="shared" si="65"/>
        <v>0</v>
      </c>
      <c r="G908" s="218">
        <f t="shared" si="66"/>
        <v>0</v>
      </c>
    </row>
    <row r="909" spans="1:7">
      <c r="A909" s="217">
        <f t="shared" si="67"/>
        <v>4465</v>
      </c>
      <c r="B909" s="216">
        <f t="shared" si="68"/>
        <v>99.1</v>
      </c>
      <c r="C909" s="218">
        <f t="shared" si="69"/>
        <v>0</v>
      </c>
      <c r="D909" s="219">
        <f>INDEX('Step 4 Stage Discharge'!E$26:F$126,MATCH(C909,'Step 4 Stage Discharge'!E$26:E$126,1),2)+(INDEX('Step 4 Stage Discharge'!E$26:F$126,MATCH(C909,'Step 4 Stage Discharge'!E$26:E$126,1)+1,2)-INDEX('Step 4 Stage Discharge'!E$26:F$126,MATCH(C909,'Step 4 Stage Discharge'!E$26:E$126,1),2))*(C909-INDEX('Step 4 Stage Discharge'!E$26:F$126,MATCH(C909,'Step 4 Stage Discharge'!E$26:E$126,1),1))/(INDEX('Step 4 Stage Discharge'!E$26:F$126,MATCH(C909,'Step 4 Stage Discharge'!E$26:E$126,1)+1,1)-INDEX('Step 4 Stage Discharge'!E$26:F$126,MATCH(C909,'Step 4 Stage Discharge'!E$26:E$126,1),1))</f>
        <v>0</v>
      </c>
      <c r="E909" s="219">
        <f>INDEX('Step 4 Stage Discharge'!E$26:M$126,MATCH(C909,'Step 4 Stage Discharge'!E$26:E$126,1),9)+(INDEX('Step 4 Stage Discharge'!E$26:M$126,MATCH('Step 6 Quality Check'!C909,'Step 4 Stage Discharge'!E$26:E$126,1)+1,9)-INDEX('Step 4 Stage Discharge'!E$26:M$126,MATCH('Step 6 Quality Check'!C909,'Step 4 Stage Discharge'!E$26:E$126,1),9))*('Step 6 Quality Check'!C909-INDEX('Step 4 Stage Discharge'!E$26:M$126,MATCH('Step 6 Quality Check'!C909,'Step 4 Stage Discharge'!E$26:E$126,1),1))/(INDEX('Step 4 Stage Discharge'!E$26:M$126,MATCH('Step 6 Quality Check'!C909,'Step 4 Stage Discharge'!E$26:E$126,1)+1,1)-INDEX('Step 4 Stage Discharge'!E$26:M$126,MATCH('Step 6 Quality Check'!C909,'Step 4 Stage Discharge'!E$26:E$126,1),1))</f>
        <v>4.3639431710317386E-3</v>
      </c>
      <c r="F909" s="218">
        <f t="shared" si="65"/>
        <v>0</v>
      </c>
      <c r="G909" s="218">
        <f t="shared" si="66"/>
        <v>0</v>
      </c>
    </row>
    <row r="910" spans="1:7">
      <c r="A910" s="217">
        <f t="shared" si="67"/>
        <v>4470</v>
      </c>
      <c r="B910" s="216">
        <f t="shared" si="68"/>
        <v>99.1</v>
      </c>
      <c r="C910" s="218">
        <f t="shared" si="69"/>
        <v>0</v>
      </c>
      <c r="D910" s="219">
        <f>INDEX('Step 4 Stage Discharge'!E$26:F$126,MATCH(C910,'Step 4 Stage Discharge'!E$26:E$126,1),2)+(INDEX('Step 4 Stage Discharge'!E$26:F$126,MATCH(C910,'Step 4 Stage Discharge'!E$26:E$126,1)+1,2)-INDEX('Step 4 Stage Discharge'!E$26:F$126,MATCH(C910,'Step 4 Stage Discharge'!E$26:E$126,1),2))*(C910-INDEX('Step 4 Stage Discharge'!E$26:F$126,MATCH(C910,'Step 4 Stage Discharge'!E$26:E$126,1),1))/(INDEX('Step 4 Stage Discharge'!E$26:F$126,MATCH(C910,'Step 4 Stage Discharge'!E$26:E$126,1)+1,1)-INDEX('Step 4 Stage Discharge'!E$26:F$126,MATCH(C910,'Step 4 Stage Discharge'!E$26:E$126,1),1))</f>
        <v>0</v>
      </c>
      <c r="E910" s="219">
        <f>INDEX('Step 4 Stage Discharge'!E$26:M$126,MATCH(C910,'Step 4 Stage Discharge'!E$26:E$126,1),9)+(INDEX('Step 4 Stage Discharge'!E$26:M$126,MATCH('Step 6 Quality Check'!C910,'Step 4 Stage Discharge'!E$26:E$126,1)+1,9)-INDEX('Step 4 Stage Discharge'!E$26:M$126,MATCH('Step 6 Quality Check'!C910,'Step 4 Stage Discharge'!E$26:E$126,1),9))*('Step 6 Quality Check'!C910-INDEX('Step 4 Stage Discharge'!E$26:M$126,MATCH('Step 6 Quality Check'!C910,'Step 4 Stage Discharge'!E$26:E$126,1),1))/(INDEX('Step 4 Stage Discharge'!E$26:M$126,MATCH('Step 6 Quality Check'!C910,'Step 4 Stage Discharge'!E$26:E$126,1)+1,1)-INDEX('Step 4 Stage Discharge'!E$26:M$126,MATCH('Step 6 Quality Check'!C910,'Step 4 Stage Discharge'!E$26:E$126,1),1))</f>
        <v>4.3639431710317386E-3</v>
      </c>
      <c r="F910" s="218">
        <f t="shared" si="65"/>
        <v>0</v>
      </c>
      <c r="G910" s="218">
        <f t="shared" si="66"/>
        <v>0</v>
      </c>
    </row>
    <row r="911" spans="1:7">
      <c r="A911" s="217">
        <f t="shared" si="67"/>
        <v>4475</v>
      </c>
      <c r="B911" s="216">
        <f t="shared" si="68"/>
        <v>99.1</v>
      </c>
      <c r="C911" s="218">
        <f t="shared" si="69"/>
        <v>0</v>
      </c>
      <c r="D911" s="219">
        <f>INDEX('Step 4 Stage Discharge'!E$26:F$126,MATCH(C911,'Step 4 Stage Discharge'!E$26:E$126,1),2)+(INDEX('Step 4 Stage Discharge'!E$26:F$126,MATCH(C911,'Step 4 Stage Discharge'!E$26:E$126,1)+1,2)-INDEX('Step 4 Stage Discharge'!E$26:F$126,MATCH(C911,'Step 4 Stage Discharge'!E$26:E$126,1),2))*(C911-INDEX('Step 4 Stage Discharge'!E$26:F$126,MATCH(C911,'Step 4 Stage Discharge'!E$26:E$126,1),1))/(INDEX('Step 4 Stage Discharge'!E$26:F$126,MATCH(C911,'Step 4 Stage Discharge'!E$26:E$126,1)+1,1)-INDEX('Step 4 Stage Discharge'!E$26:F$126,MATCH(C911,'Step 4 Stage Discharge'!E$26:E$126,1),1))</f>
        <v>0</v>
      </c>
      <c r="E911" s="219">
        <f>INDEX('Step 4 Stage Discharge'!E$26:M$126,MATCH(C911,'Step 4 Stage Discharge'!E$26:E$126,1),9)+(INDEX('Step 4 Stage Discharge'!E$26:M$126,MATCH('Step 6 Quality Check'!C911,'Step 4 Stage Discharge'!E$26:E$126,1)+1,9)-INDEX('Step 4 Stage Discharge'!E$26:M$126,MATCH('Step 6 Quality Check'!C911,'Step 4 Stage Discharge'!E$26:E$126,1),9))*('Step 6 Quality Check'!C911-INDEX('Step 4 Stage Discharge'!E$26:M$126,MATCH('Step 6 Quality Check'!C911,'Step 4 Stage Discharge'!E$26:E$126,1),1))/(INDEX('Step 4 Stage Discharge'!E$26:M$126,MATCH('Step 6 Quality Check'!C911,'Step 4 Stage Discharge'!E$26:E$126,1)+1,1)-INDEX('Step 4 Stage Discharge'!E$26:M$126,MATCH('Step 6 Quality Check'!C911,'Step 4 Stage Discharge'!E$26:E$126,1),1))</f>
        <v>4.3639431710317386E-3</v>
      </c>
      <c r="F911" s="218">
        <f t="shared" si="65"/>
        <v>0</v>
      </c>
      <c r="G911" s="218">
        <f t="shared" si="66"/>
        <v>0</v>
      </c>
    </row>
    <row r="912" spans="1:7">
      <c r="A912" s="217">
        <f t="shared" si="67"/>
        <v>4480</v>
      </c>
      <c r="B912" s="216">
        <f t="shared" si="68"/>
        <v>99.1</v>
      </c>
      <c r="C912" s="218">
        <f t="shared" si="69"/>
        <v>0</v>
      </c>
      <c r="D912" s="219">
        <f>INDEX('Step 4 Stage Discharge'!E$26:F$126,MATCH(C912,'Step 4 Stage Discharge'!E$26:E$126,1),2)+(INDEX('Step 4 Stage Discharge'!E$26:F$126,MATCH(C912,'Step 4 Stage Discharge'!E$26:E$126,1)+1,2)-INDEX('Step 4 Stage Discharge'!E$26:F$126,MATCH(C912,'Step 4 Stage Discharge'!E$26:E$126,1),2))*(C912-INDEX('Step 4 Stage Discharge'!E$26:F$126,MATCH(C912,'Step 4 Stage Discharge'!E$26:E$126,1),1))/(INDEX('Step 4 Stage Discharge'!E$26:F$126,MATCH(C912,'Step 4 Stage Discharge'!E$26:E$126,1)+1,1)-INDEX('Step 4 Stage Discharge'!E$26:F$126,MATCH(C912,'Step 4 Stage Discharge'!E$26:E$126,1),1))</f>
        <v>0</v>
      </c>
      <c r="E912" s="219">
        <f>INDEX('Step 4 Stage Discharge'!E$26:M$126,MATCH(C912,'Step 4 Stage Discharge'!E$26:E$126,1),9)+(INDEX('Step 4 Stage Discharge'!E$26:M$126,MATCH('Step 6 Quality Check'!C912,'Step 4 Stage Discharge'!E$26:E$126,1)+1,9)-INDEX('Step 4 Stage Discharge'!E$26:M$126,MATCH('Step 6 Quality Check'!C912,'Step 4 Stage Discharge'!E$26:E$126,1),9))*('Step 6 Quality Check'!C912-INDEX('Step 4 Stage Discharge'!E$26:M$126,MATCH('Step 6 Quality Check'!C912,'Step 4 Stage Discharge'!E$26:E$126,1),1))/(INDEX('Step 4 Stage Discharge'!E$26:M$126,MATCH('Step 6 Quality Check'!C912,'Step 4 Stage Discharge'!E$26:E$126,1)+1,1)-INDEX('Step 4 Stage Discharge'!E$26:M$126,MATCH('Step 6 Quality Check'!C912,'Step 4 Stage Discharge'!E$26:E$126,1),1))</f>
        <v>4.3639431710317386E-3</v>
      </c>
      <c r="F912" s="218">
        <f t="shared" ref="F912:F916" si="70">IF(E912*60*C$9&gt;C912,C912,E912*60*C$9)</f>
        <v>0</v>
      </c>
      <c r="G912" s="218">
        <f t="shared" ref="G912:G916" si="71">IF(C912-F912&lt;0,0,C912-F912)</f>
        <v>0</v>
      </c>
    </row>
    <row r="913" spans="1:7">
      <c r="A913" s="217">
        <f t="shared" si="67"/>
        <v>4485</v>
      </c>
      <c r="B913" s="216">
        <f t="shared" si="68"/>
        <v>99.1</v>
      </c>
      <c r="C913" s="218">
        <f t="shared" si="69"/>
        <v>0</v>
      </c>
      <c r="D913" s="219">
        <f>INDEX('Step 4 Stage Discharge'!E$26:F$126,MATCH(C913,'Step 4 Stage Discharge'!E$26:E$126,1),2)+(INDEX('Step 4 Stage Discharge'!E$26:F$126,MATCH(C913,'Step 4 Stage Discharge'!E$26:E$126,1)+1,2)-INDEX('Step 4 Stage Discharge'!E$26:F$126,MATCH(C913,'Step 4 Stage Discharge'!E$26:E$126,1),2))*(C913-INDEX('Step 4 Stage Discharge'!E$26:F$126,MATCH(C913,'Step 4 Stage Discharge'!E$26:E$126,1),1))/(INDEX('Step 4 Stage Discharge'!E$26:F$126,MATCH(C913,'Step 4 Stage Discharge'!E$26:E$126,1)+1,1)-INDEX('Step 4 Stage Discharge'!E$26:F$126,MATCH(C913,'Step 4 Stage Discharge'!E$26:E$126,1),1))</f>
        <v>0</v>
      </c>
      <c r="E913" s="219">
        <f>INDEX('Step 4 Stage Discharge'!E$26:M$126,MATCH(C913,'Step 4 Stage Discharge'!E$26:E$126,1),9)+(INDEX('Step 4 Stage Discharge'!E$26:M$126,MATCH('Step 6 Quality Check'!C913,'Step 4 Stage Discharge'!E$26:E$126,1)+1,9)-INDEX('Step 4 Stage Discharge'!E$26:M$126,MATCH('Step 6 Quality Check'!C913,'Step 4 Stage Discharge'!E$26:E$126,1),9))*('Step 6 Quality Check'!C913-INDEX('Step 4 Stage Discharge'!E$26:M$126,MATCH('Step 6 Quality Check'!C913,'Step 4 Stage Discharge'!E$26:E$126,1),1))/(INDEX('Step 4 Stage Discharge'!E$26:M$126,MATCH('Step 6 Quality Check'!C913,'Step 4 Stage Discharge'!E$26:E$126,1)+1,1)-INDEX('Step 4 Stage Discharge'!E$26:M$126,MATCH('Step 6 Quality Check'!C913,'Step 4 Stage Discharge'!E$26:E$126,1),1))</f>
        <v>4.3639431710317386E-3</v>
      </c>
      <c r="F913" s="218">
        <f t="shared" si="70"/>
        <v>0</v>
      </c>
      <c r="G913" s="218">
        <f t="shared" si="71"/>
        <v>0</v>
      </c>
    </row>
    <row r="914" spans="1:7">
      <c r="A914" s="217">
        <f t="shared" si="67"/>
        <v>4490</v>
      </c>
      <c r="B914" s="216">
        <f t="shared" ref="B914:B916" si="72">C$6+D914</f>
        <v>99.1</v>
      </c>
      <c r="C914" s="218">
        <f t="shared" ref="C914:C916" si="73">+G913</f>
        <v>0</v>
      </c>
      <c r="D914" s="219">
        <f>INDEX('Step 4 Stage Discharge'!E$26:F$126,MATCH(C914,'Step 4 Stage Discharge'!E$26:E$126,1),2)+(INDEX('Step 4 Stage Discharge'!E$26:F$126,MATCH(C914,'Step 4 Stage Discharge'!E$26:E$126,1)+1,2)-INDEX('Step 4 Stage Discharge'!E$26:F$126,MATCH(C914,'Step 4 Stage Discharge'!E$26:E$126,1),2))*(C914-INDEX('Step 4 Stage Discharge'!E$26:F$126,MATCH(C914,'Step 4 Stage Discharge'!E$26:E$126,1),1))/(INDEX('Step 4 Stage Discharge'!E$26:F$126,MATCH(C914,'Step 4 Stage Discharge'!E$26:E$126,1)+1,1)-INDEX('Step 4 Stage Discharge'!E$26:F$126,MATCH(C914,'Step 4 Stage Discharge'!E$26:E$126,1),1))</f>
        <v>0</v>
      </c>
      <c r="E914" s="219">
        <f>INDEX('Step 4 Stage Discharge'!E$26:M$126,MATCH(C914,'Step 4 Stage Discharge'!E$26:E$126,1),9)+(INDEX('Step 4 Stage Discharge'!E$26:M$126,MATCH('Step 6 Quality Check'!C914,'Step 4 Stage Discharge'!E$26:E$126,1)+1,9)-INDEX('Step 4 Stage Discharge'!E$26:M$126,MATCH('Step 6 Quality Check'!C914,'Step 4 Stage Discharge'!E$26:E$126,1),9))*('Step 6 Quality Check'!C914-INDEX('Step 4 Stage Discharge'!E$26:M$126,MATCH('Step 6 Quality Check'!C914,'Step 4 Stage Discharge'!E$26:E$126,1),1))/(INDEX('Step 4 Stage Discharge'!E$26:M$126,MATCH('Step 6 Quality Check'!C914,'Step 4 Stage Discharge'!E$26:E$126,1)+1,1)-INDEX('Step 4 Stage Discharge'!E$26:M$126,MATCH('Step 6 Quality Check'!C914,'Step 4 Stage Discharge'!E$26:E$126,1),1))</f>
        <v>4.3639431710317386E-3</v>
      </c>
      <c r="F914" s="218">
        <f t="shared" si="70"/>
        <v>0</v>
      </c>
      <c r="G914" s="218">
        <f t="shared" si="71"/>
        <v>0</v>
      </c>
    </row>
    <row r="915" spans="1:7">
      <c r="A915" s="217">
        <f t="shared" si="67"/>
        <v>4495</v>
      </c>
      <c r="B915" s="216">
        <f t="shared" si="72"/>
        <v>99.1</v>
      </c>
      <c r="C915" s="218">
        <f t="shared" si="73"/>
        <v>0</v>
      </c>
      <c r="D915" s="219">
        <f>INDEX('Step 4 Stage Discharge'!E$26:F$126,MATCH(C915,'Step 4 Stage Discharge'!E$26:E$126,1),2)+(INDEX('Step 4 Stage Discharge'!E$26:F$126,MATCH(C915,'Step 4 Stage Discharge'!E$26:E$126,1)+1,2)-INDEX('Step 4 Stage Discharge'!E$26:F$126,MATCH(C915,'Step 4 Stage Discharge'!E$26:E$126,1),2))*(C915-INDEX('Step 4 Stage Discharge'!E$26:F$126,MATCH(C915,'Step 4 Stage Discharge'!E$26:E$126,1),1))/(INDEX('Step 4 Stage Discharge'!E$26:F$126,MATCH(C915,'Step 4 Stage Discharge'!E$26:E$126,1)+1,1)-INDEX('Step 4 Stage Discharge'!E$26:F$126,MATCH(C915,'Step 4 Stage Discharge'!E$26:E$126,1),1))</f>
        <v>0</v>
      </c>
      <c r="E915" s="219">
        <f>INDEX('Step 4 Stage Discharge'!E$26:M$126,MATCH(C915,'Step 4 Stage Discharge'!E$26:E$126,1),9)+(INDEX('Step 4 Stage Discharge'!E$26:M$126,MATCH('Step 6 Quality Check'!C915,'Step 4 Stage Discharge'!E$26:E$126,1)+1,9)-INDEX('Step 4 Stage Discharge'!E$26:M$126,MATCH('Step 6 Quality Check'!C915,'Step 4 Stage Discharge'!E$26:E$126,1),9))*('Step 6 Quality Check'!C915-INDEX('Step 4 Stage Discharge'!E$26:M$126,MATCH('Step 6 Quality Check'!C915,'Step 4 Stage Discharge'!E$26:E$126,1),1))/(INDEX('Step 4 Stage Discharge'!E$26:M$126,MATCH('Step 6 Quality Check'!C915,'Step 4 Stage Discharge'!E$26:E$126,1)+1,1)-INDEX('Step 4 Stage Discharge'!E$26:M$126,MATCH('Step 6 Quality Check'!C915,'Step 4 Stage Discharge'!E$26:E$126,1),1))</f>
        <v>4.3639431710317386E-3</v>
      </c>
      <c r="F915" s="218">
        <f t="shared" si="70"/>
        <v>0</v>
      </c>
      <c r="G915" s="218">
        <f t="shared" si="71"/>
        <v>0</v>
      </c>
    </row>
    <row r="916" spans="1:7">
      <c r="A916" s="217">
        <f t="shared" si="67"/>
        <v>4500</v>
      </c>
      <c r="B916" s="216">
        <f t="shared" si="72"/>
        <v>99.1</v>
      </c>
      <c r="C916" s="218">
        <f t="shared" si="73"/>
        <v>0</v>
      </c>
      <c r="D916" s="219">
        <f>INDEX('Step 4 Stage Discharge'!E$26:F$126,MATCH(C916,'Step 4 Stage Discharge'!E$26:E$126,1),2)+(INDEX('Step 4 Stage Discharge'!E$26:F$126,MATCH(C916,'Step 4 Stage Discharge'!E$26:E$126,1)+1,2)-INDEX('Step 4 Stage Discharge'!E$26:F$126,MATCH(C916,'Step 4 Stage Discharge'!E$26:E$126,1),2))*(C916-INDEX('Step 4 Stage Discharge'!E$26:F$126,MATCH(C916,'Step 4 Stage Discharge'!E$26:E$126,1),1))/(INDEX('Step 4 Stage Discharge'!E$26:F$126,MATCH(C916,'Step 4 Stage Discharge'!E$26:E$126,1)+1,1)-INDEX('Step 4 Stage Discharge'!E$26:F$126,MATCH(C916,'Step 4 Stage Discharge'!E$26:E$126,1),1))</f>
        <v>0</v>
      </c>
      <c r="E916" s="219">
        <f>INDEX('Step 4 Stage Discharge'!E$26:M$126,MATCH(C916,'Step 4 Stage Discharge'!E$26:E$126,1),9)+(INDEX('Step 4 Stage Discharge'!E$26:M$126,MATCH('Step 6 Quality Check'!C916,'Step 4 Stage Discharge'!E$26:E$126,1)+1,9)-INDEX('Step 4 Stage Discharge'!E$26:M$126,MATCH('Step 6 Quality Check'!C916,'Step 4 Stage Discharge'!E$26:E$126,1),9))*('Step 6 Quality Check'!C916-INDEX('Step 4 Stage Discharge'!E$26:M$126,MATCH('Step 6 Quality Check'!C916,'Step 4 Stage Discharge'!E$26:E$126,1),1))/(INDEX('Step 4 Stage Discharge'!E$26:M$126,MATCH('Step 6 Quality Check'!C916,'Step 4 Stage Discharge'!E$26:E$126,1)+1,1)-INDEX('Step 4 Stage Discharge'!E$26:M$126,MATCH('Step 6 Quality Check'!C916,'Step 4 Stage Discharge'!E$26:E$126,1),1))</f>
        <v>4.3639431710317386E-3</v>
      </c>
      <c r="F916" s="218">
        <f t="shared" si="70"/>
        <v>0</v>
      </c>
      <c r="G916" s="218">
        <f t="shared" si="71"/>
        <v>0</v>
      </c>
    </row>
  </sheetData>
  <mergeCells count="2">
    <mergeCell ref="E9:G9"/>
    <mergeCell ref="K15:N15"/>
  </mergeCells>
  <pageMargins left="0.75" right="0.75" top="1" bottom="1" header="0.5" footer="0.5"/>
  <pageSetup paperSize="9" scale="91" fitToHeight="20" orientation="portrait" horizontalDpi="200" verticalDpi="2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workbookViewId="0">
      <selection activeCell="I6" sqref="I6"/>
    </sheetView>
  </sheetViews>
  <sheetFormatPr defaultRowHeight="12.75"/>
  <cols>
    <col min="2" max="2" width="19.140625" customWidth="1"/>
    <col min="3" max="3" width="9.28515625" bestFit="1" customWidth="1"/>
    <col min="5" max="5" width="9.28515625" bestFit="1" customWidth="1"/>
    <col min="7" max="7" width="3.28515625" customWidth="1"/>
    <col min="8" max="8" width="18.140625" customWidth="1"/>
    <col min="9" max="9" width="14.7109375" customWidth="1"/>
  </cols>
  <sheetData>
    <row r="1" spans="1:1">
      <c r="A1" s="5" t="s">
        <v>13</v>
      </c>
    </row>
    <row r="3" spans="1:1">
      <c r="A3" t="str">
        <f>("The proposed development area is "&amp;'Step 2 Inflow Hydrograph'!C16&amp;" ha."&amp;"  The predevelopment runoff coefficient is "&amp;'Step 2 Inflow Hydrograph'!C18&amp;" and")</f>
        <v>The proposed development area is 2 ha.  The predevelopment runoff coefficient is 0.2 and</v>
      </c>
    </row>
    <row r="4" spans="1:1">
      <c r="A4" s="57" t="str">
        <f>("postdevelopment runoff coefficient increases to "&amp;'Step 2 Inflow Hydrograph'!I18&amp;".  This results in increased peak flows and runoff")</f>
        <v>postdevelopment runoff coefficient increases to 0.5.  This results in increased peak flows and runoff</v>
      </c>
    </row>
    <row r="5" spans="1:1">
      <c r="A5" t="str">
        <f>("volume."&amp;"")</f>
        <v>volume.</v>
      </c>
    </row>
    <row r="7" spans="1:1">
      <c r="A7" t="str">
        <f>("Under "&amp;'Step 2 Inflow Hydrograph'!C3&amp;" yr design event and assuming a "&amp;'Step 2 Inflow Hydrograph'!C6&amp;" minute storm duration, predevelopment peak flows are ")</f>
        <v xml:space="preserve">Under 100 yr design event and assuming a 60 minute storm duration, predevelopment peak flows are </v>
      </c>
    </row>
    <row r="8" spans="1:1">
      <c r="A8" t="str">
        <f>(INT('Step 2 Inflow Hydrograph'!C24*1000)/1000&amp;" cms.  Postdevelopment flows are "&amp;INT('Step 2 Inflow Hydrograph'!I24*1000)/1000&amp;" cms.  Without quantity control the increase in peak flows")</f>
        <v>0.1 cms.  Postdevelopment flows are 0.305 cms.  Without quantity control the increase in peak flows</v>
      </c>
    </row>
    <row r="9" spans="1:1" s="14" customFormat="1">
      <c r="A9" s="14" t="str">
        <f>("will be "&amp;INT('Step 2 Inflow Hydrograph'!I24/'Step 2 Inflow Hydrograph'!C24*100)-100&amp;"%.")</f>
        <v>will be 203%.</v>
      </c>
    </row>
    <row r="11" spans="1:1">
      <c r="A11" t="str">
        <f>+("A stormwater management facility is proposed to reduce peak flows.  A facility that is "&amp;'Step 3 Pond Sizing'!I7&amp;" m long by")</f>
        <v>A stormwater management facility is proposed to reduce peak flows.  A facility that is 45 m long by</v>
      </c>
    </row>
    <row r="12" spans="1:1">
      <c r="A12" t="str">
        <f>('Step 3 Pond Sizing'!I9&amp;" m wide with active storage of "&amp;INT('Step 3 Pond Sizing'!I26*10)/10&amp;" cubic metres will reduce the peak outflow to "&amp;INT('Step 5 Routing'!L9*1000)/1000&amp;" cms.")</f>
        <v>15 m wide with active storage of 470.4 cubic metres will reduce the peak outflow to 0.118 cms.</v>
      </c>
    </row>
    <row r="13" spans="1:1" s="14" customFormat="1"/>
    <row r="14" spans="1:1" s="14" customFormat="1">
      <c r="A14" s="14" t="str">
        <f>IF('Step 4 Stage Discharge'!D18=Data!E3,("An orifice of diameter "&amp;'Step 4 Stage Discharge'!K13&amp;" m at invert elevation of "&amp;'Step 4 Stage Discharge'!K11&amp;" m is used to control outflow from dry pond."),IF('Step 4 Stage Discharge'!D18=Data!E4,("A sharp crested weir with invert "&amp;'Step 4 Stage Discharge'!K6&amp;" m and width "&amp;'Step 4 Stage Discharge'!K5&amp;" m is used to control outflow from dry pond."),("A sharp crested weir with invert "&amp;'Step 4 Stage Discharge'!K6&amp;" m and width "&amp;'Step 4 Stage Discharge'!K5&amp;" m and an orifice of diameter "&amp;'Step 4 Stage Discharge'!K13&amp;" m at invert")))</f>
        <v>An orifice of diameter 0.27 m at invert elevation of 99 m is used to control outflow from dry pond.</v>
      </c>
    </row>
    <row r="15" spans="1:1" s="14" customFormat="1">
      <c r="A15" s="14" t="str">
        <f>IF('Step 4 Stage Discharge'!D18=Data!E5,("of "&amp;'Step 4 Stage Discharge'!K11&amp;" m are used to control outflow from the pond."),"")</f>
        <v/>
      </c>
    </row>
    <row r="16" spans="1:1" s="14" customFormat="1" ht="7.5" customHeight="1"/>
    <row r="17" spans="1:8" s="14" customFormat="1">
      <c r="A17" s="57" t="s">
        <v>212</v>
      </c>
    </row>
    <row r="18" spans="1:8" s="14" customFormat="1">
      <c r="A18" s="57"/>
    </row>
    <row r="19" spans="1:8">
      <c r="C19" s="232" t="s">
        <v>132</v>
      </c>
      <c r="D19" s="232"/>
      <c r="E19" s="232" t="s">
        <v>133</v>
      </c>
      <c r="F19" s="232"/>
      <c r="G19" s="232" t="s">
        <v>134</v>
      </c>
      <c r="H19" s="233"/>
    </row>
    <row r="20" spans="1:8" s="14" customFormat="1">
      <c r="A20" s="230" t="s">
        <v>137</v>
      </c>
      <c r="C20" s="263">
        <f>'Step 2 Inflow Hydrograph'!C16</f>
        <v>2</v>
      </c>
      <c r="D20" s="263"/>
      <c r="E20" s="263">
        <f>'Step 2 Inflow Hydrograph'!I16</f>
        <v>2</v>
      </c>
      <c r="F20" s="263"/>
      <c r="G20" s="263">
        <f>E20</f>
        <v>2</v>
      </c>
      <c r="H20" s="262"/>
    </row>
    <row r="21" spans="1:8">
      <c r="A21" s="230" t="s">
        <v>44</v>
      </c>
      <c r="C21" s="233">
        <f>'Step 2 Inflow Hydrograph'!C18</f>
        <v>0.2</v>
      </c>
      <c r="D21" s="233"/>
      <c r="E21" s="233">
        <f>'Step 2 Inflow Hydrograph'!I18</f>
        <v>0.5</v>
      </c>
      <c r="F21" s="233"/>
      <c r="G21" s="263" t="s">
        <v>135</v>
      </c>
      <c r="H21" s="262"/>
    </row>
    <row r="22" spans="1:8">
      <c r="A22" s="230" t="s">
        <v>138</v>
      </c>
      <c r="C22" s="264">
        <f>'Step 2 Inflow Hydrograph'!C24</f>
        <v>0.10070741617497482</v>
      </c>
      <c r="D22" s="264"/>
      <c r="E22" s="264">
        <f>'Step 2 Inflow Hydrograph'!I24</f>
        <v>0.30599189670189714</v>
      </c>
      <c r="F22" s="264"/>
      <c r="G22" s="264">
        <f>'Step 5 Routing'!L9</f>
        <v>0.1181377039152235</v>
      </c>
      <c r="H22" s="262"/>
    </row>
    <row r="24" spans="1:8">
      <c r="C24" s="232" t="s">
        <v>123</v>
      </c>
      <c r="D24" s="232"/>
      <c r="E24" s="232"/>
      <c r="F24" s="232"/>
      <c r="G24" s="16"/>
      <c r="H24" s="17"/>
    </row>
    <row r="25" spans="1:8" s="14" customFormat="1">
      <c r="C25" s="232" t="s">
        <v>200</v>
      </c>
      <c r="D25" s="232"/>
      <c r="E25" s="232" t="s">
        <v>201</v>
      </c>
      <c r="F25" s="232"/>
      <c r="G25" s="232"/>
      <c r="H25" s="233"/>
    </row>
    <row r="26" spans="1:8" ht="14.25">
      <c r="A26" s="230" t="s">
        <v>213</v>
      </c>
      <c r="C26" s="265">
        <f>+'Step 3 Pond Sizing'!I26</f>
        <v>470.44799999999998</v>
      </c>
      <c r="D26" s="265"/>
      <c r="E26" s="265">
        <f>'Step 5 Routing'!L5</f>
        <v>299.47641978216615</v>
      </c>
      <c r="F26" s="265"/>
      <c r="G26" s="265"/>
      <c r="H26" s="262"/>
    </row>
    <row r="27" spans="1:8" ht="14.25">
      <c r="A27" s="230" t="s">
        <v>214</v>
      </c>
      <c r="C27" s="264">
        <f>+IF('Step 4 Stage Discharge'!D18=Data!E3,MAX('Step 4 Stage Discharge'!H26:H126),IF('Step 4 Stage Discharge'!D18=Data!E4,MAX('Step 4 Stage Discharge'!K26:K126),MAX('Step 4 Stage Discharge'!M26:M126)))</f>
        <v>0.14152261623449167</v>
      </c>
      <c r="D27" s="264"/>
      <c r="E27" s="267">
        <f>'Step 5 Routing'!L9</f>
        <v>0.1181377039152235</v>
      </c>
      <c r="F27" s="267"/>
      <c r="G27" s="265"/>
      <c r="H27" s="262"/>
    </row>
    <row r="28" spans="1:8" s="14" customFormat="1">
      <c r="A28" s="230" t="s">
        <v>136</v>
      </c>
      <c r="C28" s="266">
        <f>+'Step 3 Pond Sizing'!I11</f>
        <v>0.9</v>
      </c>
      <c r="D28" s="262"/>
      <c r="E28" s="266">
        <f>'Step 5 Routing'!L6</f>
        <v>0.63872204402853761</v>
      </c>
      <c r="F28" s="266"/>
      <c r="G28" s="266"/>
      <c r="H28" s="262"/>
    </row>
    <row r="29" spans="1:8">
      <c r="A29" s="230" t="s">
        <v>139</v>
      </c>
      <c r="C29" s="261">
        <f>+'Step 3 Pond Sizing'!I5</f>
        <v>100</v>
      </c>
      <c r="D29" s="262"/>
      <c r="E29" s="261">
        <f>'Step 4 Stage Discharge'!E9+Summary!E28</f>
        <v>99.738722044028535</v>
      </c>
      <c r="F29" s="233"/>
      <c r="G29" s="261"/>
      <c r="H29" s="262"/>
    </row>
    <row r="30" spans="1:8">
      <c r="A30" s="9"/>
    </row>
    <row r="31" spans="1:8">
      <c r="A31" s="9"/>
      <c r="B31" s="14"/>
      <c r="C31" s="232" t="s">
        <v>240</v>
      </c>
      <c r="D31" s="232"/>
      <c r="E31" s="232"/>
      <c r="F31" s="232"/>
    </row>
    <row r="32" spans="1:8">
      <c r="A32" s="9"/>
      <c r="B32" s="14"/>
      <c r="C32" s="232" t="s">
        <v>297</v>
      </c>
      <c r="D32" s="232"/>
      <c r="E32" s="232" t="s">
        <v>294</v>
      </c>
      <c r="F32" s="233"/>
    </row>
    <row r="33" spans="1:8" ht="14.25">
      <c r="A33" s="230" t="s">
        <v>295</v>
      </c>
      <c r="C33" s="268">
        <f>+'Step 3 Pond Sizing'!I36</f>
        <v>80</v>
      </c>
      <c r="D33" s="268"/>
      <c r="E33" s="268">
        <f>+'Step 3 Pond Sizing'!I34</f>
        <v>100</v>
      </c>
      <c r="F33" s="268"/>
      <c r="H33" s="8"/>
    </row>
    <row r="34" spans="1:8" ht="14.25">
      <c r="A34" s="230" t="s">
        <v>296</v>
      </c>
      <c r="C34" s="268">
        <f>+'Step 3 Pond Sizing'!I48</f>
        <v>228.47999999999911</v>
      </c>
      <c r="D34" s="268"/>
      <c r="E34" s="268">
        <f>+'Step 3 Pond Sizing'!D48</f>
        <v>383.15999999999832</v>
      </c>
      <c r="F34" s="268"/>
      <c r="H34" s="8"/>
    </row>
    <row r="35" spans="1:8">
      <c r="A35" s="230" t="s">
        <v>298</v>
      </c>
      <c r="C35" s="261">
        <f>+'Step 3 Pond Sizing'!I13</f>
        <v>0.5</v>
      </c>
      <c r="D35" s="261"/>
      <c r="E35" s="261">
        <f>+'Step 3 Pond Sizing'!I15</f>
        <v>1</v>
      </c>
      <c r="F35" s="261"/>
      <c r="H35" s="8"/>
    </row>
    <row r="36" spans="1:8">
      <c r="A36" s="230" t="s">
        <v>139</v>
      </c>
      <c r="C36" s="261">
        <f>+'Step 3 Pond Sizing'!I19</f>
        <v>99.6</v>
      </c>
      <c r="D36" s="261"/>
      <c r="E36" s="261">
        <f>+'Step 3 Pond Sizing'!I17</f>
        <v>99.1</v>
      </c>
      <c r="F36" s="261"/>
      <c r="H36" s="8"/>
    </row>
  </sheetData>
  <mergeCells count="39">
    <mergeCell ref="C33:D33"/>
    <mergeCell ref="C34:D34"/>
    <mergeCell ref="C35:D35"/>
    <mergeCell ref="C36:D36"/>
    <mergeCell ref="E33:F33"/>
    <mergeCell ref="E34:F34"/>
    <mergeCell ref="E35:F35"/>
    <mergeCell ref="E36:F36"/>
    <mergeCell ref="C25:D25"/>
    <mergeCell ref="C27:D27"/>
    <mergeCell ref="C32:D32"/>
    <mergeCell ref="C31:F31"/>
    <mergeCell ref="C20:D20"/>
    <mergeCell ref="C21:D21"/>
    <mergeCell ref="C22:D22"/>
    <mergeCell ref="E20:F20"/>
    <mergeCell ref="E21:F21"/>
    <mergeCell ref="E25:F25"/>
    <mergeCell ref="E27:F27"/>
    <mergeCell ref="E28:F28"/>
    <mergeCell ref="E29:F29"/>
    <mergeCell ref="E26:F26"/>
    <mergeCell ref="E32:F32"/>
    <mergeCell ref="G29:H29"/>
    <mergeCell ref="G25:H25"/>
    <mergeCell ref="E19:F19"/>
    <mergeCell ref="G19:H19"/>
    <mergeCell ref="G20:H20"/>
    <mergeCell ref="G21:H21"/>
    <mergeCell ref="G22:H22"/>
    <mergeCell ref="G26:H26"/>
    <mergeCell ref="E22:F22"/>
    <mergeCell ref="C24:F24"/>
    <mergeCell ref="G27:H27"/>
    <mergeCell ref="G28:H28"/>
    <mergeCell ref="C19:D19"/>
    <mergeCell ref="C26:D26"/>
    <mergeCell ref="C28:D28"/>
    <mergeCell ref="C29:D29"/>
  </mergeCell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F22"/>
  <sheetViews>
    <sheetView workbookViewId="0">
      <selection activeCell="J43" sqref="J43"/>
    </sheetView>
  </sheetViews>
  <sheetFormatPr defaultRowHeight="12.75"/>
  <cols>
    <col min="1" max="1" width="14.5703125" customWidth="1"/>
    <col min="2" max="2" width="12.140625" customWidth="1"/>
    <col min="3" max="3" width="10.42578125" customWidth="1"/>
    <col min="4" max="4" width="19.85546875" customWidth="1"/>
    <col min="5" max="5" width="18.42578125" customWidth="1"/>
  </cols>
  <sheetData>
    <row r="2" spans="1:6">
      <c r="A2" s="5" t="s">
        <v>182</v>
      </c>
      <c r="B2" s="5" t="s">
        <v>183</v>
      </c>
      <c r="C2" s="5" t="s">
        <v>184</v>
      </c>
      <c r="D2" s="5" t="s">
        <v>180</v>
      </c>
      <c r="E2" s="5" t="s">
        <v>37</v>
      </c>
      <c r="F2" s="5" t="s">
        <v>218</v>
      </c>
    </row>
    <row r="3" spans="1:6">
      <c r="A3">
        <v>2</v>
      </c>
      <c r="B3">
        <v>5</v>
      </c>
      <c r="C3">
        <v>1</v>
      </c>
      <c r="D3" s="57" t="s">
        <v>95</v>
      </c>
      <c r="E3" s="57" t="s">
        <v>38</v>
      </c>
      <c r="F3" s="57" t="s">
        <v>219</v>
      </c>
    </row>
    <row r="4" spans="1:6">
      <c r="A4">
        <v>5</v>
      </c>
      <c r="B4">
        <v>10</v>
      </c>
      <c r="C4">
        <v>2</v>
      </c>
      <c r="D4" s="57" t="s">
        <v>181</v>
      </c>
      <c r="E4" s="57" t="s">
        <v>162</v>
      </c>
      <c r="F4" s="57" t="s">
        <v>220</v>
      </c>
    </row>
    <row r="5" spans="1:6">
      <c r="A5">
        <v>10</v>
      </c>
      <c r="B5">
        <v>15</v>
      </c>
      <c r="C5">
        <v>5</v>
      </c>
      <c r="D5" s="57" t="s">
        <v>174</v>
      </c>
      <c r="E5" s="57" t="s">
        <v>211</v>
      </c>
    </row>
    <row r="6" spans="1:6">
      <c r="A6">
        <v>25</v>
      </c>
      <c r="B6">
        <v>30</v>
      </c>
      <c r="C6">
        <v>10</v>
      </c>
      <c r="D6" s="57" t="s">
        <v>189</v>
      </c>
    </row>
    <row r="7" spans="1:6">
      <c r="A7">
        <v>50</v>
      </c>
      <c r="B7">
        <v>60</v>
      </c>
      <c r="C7">
        <v>15</v>
      </c>
    </row>
    <row r="8" spans="1:6">
      <c r="A8">
        <v>100</v>
      </c>
      <c r="B8">
        <v>120</v>
      </c>
    </row>
    <row r="9" spans="1:6">
      <c r="B9">
        <v>360</v>
      </c>
    </row>
    <row r="10" spans="1:6">
      <c r="B10">
        <v>720</v>
      </c>
    </row>
    <row r="11" spans="1:6">
      <c r="B11">
        <v>1440</v>
      </c>
    </row>
    <row r="13" spans="1:6">
      <c r="A13" s="5" t="s">
        <v>251</v>
      </c>
    </row>
    <row r="15" spans="1:6" s="14" customFormat="1">
      <c r="A15" s="5" t="s">
        <v>252</v>
      </c>
    </row>
    <row r="16" spans="1:6" s="14" customFormat="1">
      <c r="A16" s="5"/>
      <c r="B16" s="269" t="s">
        <v>254</v>
      </c>
      <c r="C16" s="270"/>
      <c r="D16" s="270"/>
      <c r="E16" s="271"/>
    </row>
    <row r="17" spans="1:5" s="14" customFormat="1">
      <c r="A17" s="183" t="s">
        <v>253</v>
      </c>
      <c r="B17" s="183" t="s">
        <v>258</v>
      </c>
      <c r="C17" s="183" t="s">
        <v>259</v>
      </c>
      <c r="D17" s="183" t="s">
        <v>260</v>
      </c>
      <c r="E17" s="57" t="s">
        <v>264</v>
      </c>
    </row>
    <row r="18" spans="1:5">
      <c r="A18" s="199">
        <v>0.15</v>
      </c>
      <c r="B18" s="200">
        <v>50</v>
      </c>
      <c r="C18" s="200">
        <v>30</v>
      </c>
      <c r="D18" s="200">
        <v>15</v>
      </c>
    </row>
    <row r="19" spans="1:5" s="14" customFormat="1">
      <c r="A19" s="199">
        <v>0.35</v>
      </c>
      <c r="B19" s="180">
        <v>100</v>
      </c>
      <c r="C19" s="180">
        <v>50</v>
      </c>
      <c r="D19" s="180">
        <v>20</v>
      </c>
    </row>
    <row r="20" spans="1:5" s="14" customFormat="1">
      <c r="A20" s="199">
        <v>0.55000000000000004</v>
      </c>
      <c r="B20" s="180">
        <v>150</v>
      </c>
      <c r="C20" s="180">
        <v>70</v>
      </c>
      <c r="D20" s="180">
        <v>35</v>
      </c>
    </row>
    <row r="21" spans="1:5">
      <c r="A21" s="199">
        <v>0.7</v>
      </c>
      <c r="B21" s="180">
        <v>185</v>
      </c>
      <c r="C21" s="180">
        <v>90</v>
      </c>
      <c r="D21" s="180">
        <v>45</v>
      </c>
    </row>
    <row r="22" spans="1:5">
      <c r="A22" s="199">
        <v>0.85</v>
      </c>
      <c r="B22" s="180">
        <v>210</v>
      </c>
      <c r="C22" s="180">
        <v>110</v>
      </c>
      <c r="D22" s="180">
        <v>55</v>
      </c>
    </row>
  </sheetData>
  <mergeCells count="1">
    <mergeCell ref="B16:E16"/>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9</vt:i4>
      </vt:variant>
      <vt:variant>
        <vt:lpstr>Charts</vt:lpstr>
      </vt:variant>
      <vt:variant>
        <vt:i4>1</vt:i4>
      </vt:variant>
      <vt:variant>
        <vt:lpstr>Named Ranges</vt:lpstr>
      </vt:variant>
      <vt:variant>
        <vt:i4>16</vt:i4>
      </vt:variant>
    </vt:vector>
  </HeadingPairs>
  <TitlesOfParts>
    <vt:vector size="26" baseType="lpstr">
      <vt:lpstr>Instructions</vt:lpstr>
      <vt:lpstr>Step 1 IDF Curves</vt:lpstr>
      <vt:lpstr>Step 2 Inflow Hydrograph</vt:lpstr>
      <vt:lpstr>Step 3 Pond Sizing</vt:lpstr>
      <vt:lpstr>Step 4 Stage Discharge</vt:lpstr>
      <vt:lpstr>Step 5 Routing</vt:lpstr>
      <vt:lpstr>Step 6 Quality Check</vt:lpstr>
      <vt:lpstr>Summary</vt:lpstr>
      <vt:lpstr>Data</vt:lpstr>
      <vt:lpstr>Step 7 View Hydrograph</vt:lpstr>
      <vt:lpstr>Control</vt:lpstr>
      <vt:lpstr>Depth</vt:lpstr>
      <vt:lpstr>Duration</vt:lpstr>
      <vt:lpstr>Frequency</vt:lpstr>
      <vt:lpstr>Hydrograph</vt:lpstr>
      <vt:lpstr>Orifice</vt:lpstr>
      <vt:lpstr>'Step 2 Inflow Hydrograph'!Print_Area</vt:lpstr>
      <vt:lpstr>'Step 3 Pond Sizing'!Print_Area</vt:lpstr>
      <vt:lpstr>'Step 4 Stage Discharge'!Print_Area</vt:lpstr>
      <vt:lpstr>'Step 5 Routing'!Print_Area</vt:lpstr>
      <vt:lpstr>'Step 6 Quality Check'!Print_Area</vt:lpstr>
      <vt:lpstr>Summary!Print_Area</vt:lpstr>
      <vt:lpstr>Protection</vt:lpstr>
      <vt:lpstr>Step</vt:lpstr>
      <vt:lpstr>Storage</vt:lpstr>
      <vt:lpstr>Time</vt:lpstr>
    </vt:vector>
  </TitlesOfParts>
  <Company>QCA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Bryon Keene</dc:creator>
  <cp:lastModifiedBy>Jennifer May-Anderson</cp:lastModifiedBy>
  <cp:lastPrinted>2014-01-16T15:00:15Z</cp:lastPrinted>
  <dcterms:created xsi:type="dcterms:W3CDTF">2007-05-31T14:59:28Z</dcterms:created>
  <dcterms:modified xsi:type="dcterms:W3CDTF">2014-05-14T16:51:56Z</dcterms:modified>
</cp:coreProperties>
</file>